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defaultThemeVersion="166925"/>
  <bookViews>
    <workbookView xWindow="3180" yWindow="2000" windowWidth="27640" windowHeight="16940" activeTab="0"/>
  </bookViews>
  <sheets>
    <sheet name="Forecasting 12 months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<sst xmlns="http://schemas.openxmlformats.org/spreadsheetml/2006/main" count="167" uniqueCount="134">
  <si>
    <t>BSA Forecasting/Projections 2023-24</t>
  </si>
  <si>
    <t>Operating Bank Balance</t>
  </si>
  <si>
    <t>as of 3.23.23</t>
  </si>
  <si>
    <t>Money Market Bank Balance</t>
  </si>
  <si>
    <t>Less: Outstanding Check Balance</t>
  </si>
  <si>
    <t>Taken from Feb Reconciliation Report</t>
  </si>
  <si>
    <t>Plus: Uncleared Deposits</t>
  </si>
  <si>
    <t>Total Bank Balance</t>
  </si>
  <si>
    <t>Starting Date</t>
  </si>
  <si>
    <t>Total</t>
  </si>
  <si>
    <t>Input Source</t>
  </si>
  <si>
    <t>Notes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</si>
  <si>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</si>
  <si>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</si>
  <si>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</si>
  <si>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</si>
  <si>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</si>
  <si>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</si>
  <si>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</si>
  <si>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</si>
  <si>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</si>
  <si>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</si>
  <si>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</si>
  <si>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</si>
  <si>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Account</t>
  </si>
  <si>
    <t>Income</t>
  </si>
  <si>
    <t>Membership Income</t>
  </si>
  <si>
    <t>Dues</t>
  </si>
  <si>
    <t>FY23 Budget total x Percentage collected by month in FY22</t>
  </si>
  <si>
    <t>Section Dues</t>
  </si>
  <si>
    <t>Total Membership Income</t>
  </si>
  <si>
    <t>Special Funds/Donations</t>
  </si>
  <si>
    <t>Endowment Income</t>
  </si>
  <si>
    <t>Past President's Fund</t>
  </si>
  <si>
    <t>Awards</t>
  </si>
  <si>
    <t>Other Funds</t>
  </si>
  <si>
    <t>Total Special Funds/Donations</t>
  </si>
  <si>
    <t>Publications</t>
  </si>
  <si>
    <t>Journal Revenue/Royalty</t>
  </si>
  <si>
    <t>Journal Development</t>
  </si>
  <si>
    <t>Journal Travel Fund</t>
  </si>
  <si>
    <t>Journal Editorial Support</t>
  </si>
  <si>
    <t>Total Publications Income</t>
  </si>
  <si>
    <t>Grants</t>
  </si>
  <si>
    <t>All direct grant activity excluded from forecasting tool</t>
  </si>
  <si>
    <t>B&amp;B</t>
  </si>
  <si>
    <t>F2</t>
  </si>
  <si>
    <t>Indigenous Voices</t>
  </si>
  <si>
    <t>Overhead Recovery - Grants</t>
  </si>
  <si>
    <t>Overhead from FY22 used for FY23</t>
  </si>
  <si>
    <t>F2 &amp; IV overhead expected to be higher than expected FY23 budget, Plants overhead expected to be lower</t>
  </si>
  <si>
    <t>Total Grants Income</t>
  </si>
  <si>
    <t>Other Income</t>
  </si>
  <si>
    <t>Management Svc Income per SSE &amp; SEB &amp; ASPT Contract and Comparative Plant Bio Award Overhead per Gift Agreement (10% of $10k in May)</t>
  </si>
  <si>
    <t>NE Meeting Income</t>
  </si>
  <si>
    <t>Total Other Income</t>
  </si>
  <si>
    <t>Total Income</t>
  </si>
  <si>
    <t>Expenses</t>
  </si>
  <si>
    <t>Employment</t>
  </si>
  <si>
    <t>Salaries, benefits, &amp; taxes</t>
  </si>
  <si>
    <t>payment to MBG every 2 weeks less deductions (grant &amp; conference salary allocations)</t>
  </si>
  <si>
    <t>Staff training</t>
  </si>
  <si>
    <t xml:space="preserve">FY23 Budget total </t>
  </si>
  <si>
    <t>Total Employment Expenses</t>
  </si>
  <si>
    <t>Contract &amp; Labor</t>
  </si>
  <si>
    <t>AJB Contract Labor-Copy Editing</t>
  </si>
  <si>
    <t>Per Contract w/ AJB EIC</t>
  </si>
  <si>
    <t xml:space="preserve"> Contract Labor - General</t>
  </si>
  <si>
    <t>FY23 Budget (averaged per month)</t>
  </si>
  <si>
    <t>Total Contract &amp; Labor Expenses</t>
  </si>
  <si>
    <t xml:space="preserve">Grants </t>
  </si>
  <si>
    <t>Participant Support Costs</t>
  </si>
  <si>
    <t>Consultants - PlantingScience Contract Labor</t>
  </si>
  <si>
    <t>Travel</t>
  </si>
  <si>
    <t>Equipment/Software</t>
  </si>
  <si>
    <t>Total Grants Expense</t>
  </si>
  <si>
    <t>Travel &amp; Meeting</t>
  </si>
  <si>
    <t>Air Travel</t>
  </si>
  <si>
    <t>FY23 Budget (less grant activity, averaged per month)</t>
  </si>
  <si>
    <t>Accommodations</t>
  </si>
  <si>
    <t>Meals</t>
  </si>
  <si>
    <t>Conferences</t>
  </si>
  <si>
    <t>Total Travel &amp; Meetings</t>
  </si>
  <si>
    <t>Facilities</t>
  </si>
  <si>
    <t xml:space="preserve">Rent </t>
  </si>
  <si>
    <t>Rob's Rent, MBG Rent per contract</t>
  </si>
  <si>
    <t>Power &amp; Utilities</t>
  </si>
  <si>
    <t>MBG Support</t>
  </si>
  <si>
    <t>MBG per contract</t>
  </si>
  <si>
    <t>Total Facilities Expenses</t>
  </si>
  <si>
    <t>MBG Contract, internet charges</t>
  </si>
  <si>
    <t>Infrastructure</t>
  </si>
  <si>
    <t>Web Hosting</t>
  </si>
  <si>
    <t>IT Support</t>
  </si>
  <si>
    <t>Total Infrastructure Expense</t>
  </si>
  <si>
    <t>Office</t>
  </si>
  <si>
    <t>Supplies</t>
  </si>
  <si>
    <t>Copying/Reproductions/Image Scanning</t>
  </si>
  <si>
    <t>Postage</t>
  </si>
  <si>
    <t>Equipment - Computer</t>
  </si>
  <si>
    <t>Equipment - Software</t>
  </si>
  <si>
    <t>Total Office Expenses</t>
  </si>
  <si>
    <t>Supplies, copying, postage, computer, software, etc</t>
  </si>
  <si>
    <t>Other</t>
  </si>
  <si>
    <t>Accounting Fees</t>
  </si>
  <si>
    <t>QBO Fees</t>
  </si>
  <si>
    <t>Legal Fees</t>
  </si>
  <si>
    <t>Advertising/Promotions</t>
  </si>
  <si>
    <t>Bank Charges</t>
  </si>
  <si>
    <t>Credit Card Fee</t>
  </si>
  <si>
    <t>Interest Paid</t>
  </si>
  <si>
    <t>Insurance</t>
  </si>
  <si>
    <t>NE Annual Meeting Cost</t>
  </si>
  <si>
    <t>NE Meeting/Field Trip</t>
  </si>
  <si>
    <t>Total Other Expenses</t>
  </si>
  <si>
    <t>Printing Costs</t>
  </si>
  <si>
    <t>APC WAIVERS</t>
  </si>
  <si>
    <t>Unsure if we will use all of this</t>
  </si>
  <si>
    <t>Contract labor - Copy/Editing</t>
  </si>
  <si>
    <t>Editor-in-Chief Stipend</t>
  </si>
  <si>
    <t>Per contract with APPS and PSB EICs</t>
  </si>
  <si>
    <t>Total Publications Expense</t>
  </si>
  <si>
    <t>Development</t>
  </si>
  <si>
    <t>Professional Dues</t>
  </si>
  <si>
    <t>Awards - General</t>
  </si>
  <si>
    <t>Outreach</t>
  </si>
  <si>
    <t>FY23 Budget (averaged per month), Social media liaison payments 2024</t>
  </si>
  <si>
    <t>Total Development Expenses</t>
  </si>
  <si>
    <t>Total Expenses</t>
  </si>
  <si>
    <t>Net Income (Loss)</t>
  </si>
  <si>
    <t>Beginning Bank Balance</t>
  </si>
  <si>
    <t>Less: Endowment/Section Funds collected &amp; transferred to Investment Account</t>
  </si>
  <si>
    <t>Sending donations to Investment account at Morgan Stanley</t>
  </si>
  <si>
    <t>Estimated Ending Bank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</si>
</sst>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"/>
    <numFmt numFmtId="165" formatCode="0.000%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AEABAB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4C6E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43" fontId="4" fillId="2" borderId="0" xfId="0" applyNumberFormat="1" applyFont="1" applyFill="1" applyAlignment="1">
      <alignment horizontal="center"/>
    </xf>
    <xf numFmtId="0" fontId="5" fillId="0" borderId="0" xfId="0" applyFont="1"/>
    <xf numFmtId="0" fontId="6" fillId="0" borderId="0" xfId="0" applyFont="1"/>
    <xf numFmtId="43" fontId="4" fillId="3" borderId="0" xfId="0" applyNumberFormat="1" applyFont="1" applyFill="1" applyAlignment="1">
      <alignment horizontal="center"/>
    </xf>
    <xf numFmtId="0" fontId="7" fillId="4" borderId="0" xfId="0" applyFont="1" applyFill="1"/>
    <xf numFmtId="17" fontId="4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/>
    <xf numFmtId="0" fontId="7" fillId="4" borderId="0" xfId="0" applyFont="1" applyFill="1" applyAlignment="1">
      <alignment horizontal="center"/>
    </xf>
    <xf numFmtId="0" fontId="2" fillId="0" borderId="0" xfId="0" applyFont="1"/>
    <xf numFmtId="43" fontId="4" fillId="0" borderId="0" xfId="0" applyNumberFormat="1" applyFont="1"/>
    <xf numFmtId="165" fontId="4" fillId="0" borderId="0" xfId="0" applyNumberFormat="1" applyFont="1"/>
    <xf numFmtId="0" fontId="0" fillId="0" borderId="0" xfId="0" applyFont="1"/>
    <xf numFmtId="0" fontId="4" fillId="0" borderId="0" xfId="0" applyFont="1" applyAlignment="1">
      <alignment horizontal="left"/>
    </xf>
    <xf numFmtId="43" fontId="4" fillId="2" borderId="0" xfId="0" applyNumberFormat="1" applyFont="1" applyFill="1"/>
    <xf numFmtId="43" fontId="4" fillId="5" borderId="1" xfId="0" applyNumberFormat="1" applyFont="1" applyFill="1" applyBorder="1"/>
    <xf numFmtId="43" fontId="4" fillId="5" borderId="2" xfId="0" applyNumberFormat="1" applyFont="1" applyFill="1" applyBorder="1"/>
    <xf numFmtId="43" fontId="4" fillId="0" borderId="1" xfId="0" applyNumberFormat="1" applyFont="1" applyBorder="1"/>
    <xf numFmtId="0" fontId="4" fillId="4" borderId="1" xfId="0" applyFont="1" applyFill="1" applyBorder="1"/>
    <xf numFmtId="43" fontId="4" fillId="4" borderId="1" xfId="0" applyNumberFormat="1" applyFont="1" applyFill="1" applyBorder="1"/>
    <xf numFmtId="43" fontId="4" fillId="0" borderId="0" xfId="0" applyNumberFormat="1" applyFont="1"/>
    <xf numFmtId="0" fontId="4" fillId="0" borderId="0" xfId="0" applyFont="1" applyAlignment="1">
      <alignment horizontal="left"/>
    </xf>
    <xf numFmtId="0" fontId="4" fillId="4" borderId="2" xfId="0" applyFont="1" applyFill="1" applyBorder="1"/>
    <xf numFmtId="43" fontId="4" fillId="4" borderId="2" xfId="0" applyNumberFormat="1" applyFont="1" applyFill="1" applyBorder="1"/>
    <xf numFmtId="0" fontId="4" fillId="6" borderId="0" xfId="0" applyFont="1" applyFill="1"/>
    <xf numFmtId="0" fontId="7" fillId="4" borderId="1" xfId="0" applyFont="1" applyFill="1" applyBorder="1"/>
    <xf numFmtId="43" fontId="7" fillId="5" borderId="1" xfId="0" applyNumberFormat="1" applyFont="1" applyFill="1" applyBorder="1"/>
    <xf numFmtId="43" fontId="7" fillId="4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A%20Budget%20Forecasting%20Tool%202023Marc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casting 12 months"/>
      <sheetName val="Last fiscal year P&amp;L by month"/>
      <sheetName val="FY23 Budget Consolidate"/>
      <sheetName val="Morgan Stanley Checks"/>
      <sheetName val="Payroll Expense"/>
    </sheetNames>
    <sheetDataSet>
      <sheetData sheetId="0"/>
      <sheetData sheetId="1">
        <row r="12">
          <cell r="B12">
            <v>0.1647709108041258</v>
          </cell>
          <cell r="C12">
            <v>0.1018407901600175</v>
          </cell>
          <cell r="D12">
            <v>0.20233548148272787</v>
          </cell>
          <cell r="E12">
            <v>0.16657973111675725</v>
          </cell>
          <cell r="F12">
            <v>0.0894062021503929</v>
          </cell>
          <cell r="G12">
            <v>0.07920950345779139</v>
          </cell>
          <cell r="H12">
            <v>0.08307953761504938</v>
          </cell>
          <cell r="I12">
            <v>0.026206861738823174</v>
          </cell>
          <cell r="J12">
            <v>0.04648247547576181</v>
          </cell>
          <cell r="K12">
            <v>0.01312446366374451</v>
          </cell>
          <cell r="L12">
            <v>0.012367283067759251</v>
          </cell>
          <cell r="M12">
            <v>0.014596759267049184</v>
          </cell>
        </row>
        <row r="16">
          <cell r="B16">
            <v>0.18431663837011886</v>
          </cell>
          <cell r="C16">
            <v>0.13964346349745332</v>
          </cell>
          <cell r="D16">
            <v>0.1855899830220713</v>
          </cell>
          <cell r="E16">
            <v>0.18304329371816638</v>
          </cell>
          <cell r="F16">
            <v>0.0734295415959253</v>
          </cell>
          <cell r="G16">
            <v>0.05507215619694397</v>
          </cell>
          <cell r="H16">
            <v>0.07640067911714771</v>
          </cell>
          <cell r="I16">
            <v>0.02217741935483871</v>
          </cell>
          <cell r="J16">
            <v>0.03851867572156197</v>
          </cell>
          <cell r="K16">
            <v>0.005305602716468591</v>
          </cell>
          <cell r="L16">
            <v>0.010929541595925298</v>
          </cell>
          <cell r="M16">
            <v>0.025573005093378606</v>
          </cell>
        </row>
        <row r="19">
          <cell r="B19">
            <v>0.04432286403326563</v>
          </cell>
          <cell r="C19">
            <v>0.05783007716011671</v>
          </cell>
          <cell r="D19">
            <v>0.08505198233410431</v>
          </cell>
          <cell r="E19">
            <v>0.19262477125808414</v>
          </cell>
          <cell r="F19">
            <v>0.0047916609765692566</v>
          </cell>
          <cell r="G19">
            <v>0.006173096836114175</v>
          </cell>
          <cell r="H19">
            <v>0.0251562201269886</v>
          </cell>
          <cell r="I19">
            <v>0.0014796649095645865</v>
          </cell>
          <cell r="J19">
            <v>0.2910934043265824</v>
          </cell>
          <cell r="K19">
            <v>0.28749965859415544</v>
          </cell>
          <cell r="L19">
            <v>0</v>
          </cell>
          <cell r="M19">
            <v>0.003976599444454826</v>
          </cell>
        </row>
        <row r="21">
          <cell r="B21">
            <v>0.125</v>
          </cell>
          <cell r="C21">
            <v>0.20833333333333334</v>
          </cell>
          <cell r="D21">
            <v>0</v>
          </cell>
          <cell r="E21">
            <v>0.25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0.4166666666666667</v>
          </cell>
          <cell r="K21">
            <v>0</v>
          </cell>
          <cell r="L21">
            <v>0</v>
          </cell>
          <cell r="M21">
            <v>0</v>
          </cell>
        </row>
        <row r="25">
          <cell r="B25">
            <v>0.1384330121335876</v>
          </cell>
          <cell r="C25">
            <v>0.04994135713924094</v>
          </cell>
          <cell r="D25">
            <v>0.03717915183016353</v>
          </cell>
          <cell r="E25">
            <v>0.28225779232833254</v>
          </cell>
          <cell r="F25">
            <v>0.011602004826434009</v>
          </cell>
          <cell r="G25">
            <v>0.014924397117640112</v>
          </cell>
          <cell r="H25">
            <v>0.003691546990229003</v>
          </cell>
          <cell r="I25">
            <v>0.029005012066085023</v>
          </cell>
          <cell r="J25">
            <v>0.038761243397404534</v>
          </cell>
          <cell r="K25">
            <v>0.02768660242671752</v>
          </cell>
          <cell r="L25">
            <v>0.056955296420676045</v>
          </cell>
          <cell r="M25">
            <v>0.30956258332348924</v>
          </cell>
        </row>
        <row r="27">
          <cell r="B27">
            <v>0.0016095907670597722</v>
          </cell>
          <cell r="C27">
            <v>0.002163970365890535</v>
          </cell>
          <cell r="D27">
            <v>0.003496371333534926</v>
          </cell>
          <cell r="E27">
            <v>0.9855861304304001</v>
          </cell>
          <cell r="F27">
            <v>0.00114970769075698</v>
          </cell>
          <cell r="G27">
            <v>0.0017450357826831974</v>
          </cell>
          <cell r="H27">
            <v>0.0013229513153915936</v>
          </cell>
          <cell r="I27">
            <v>0</v>
          </cell>
          <cell r="J27">
            <v>0.00045043342404999496</v>
          </cell>
          <cell r="K27">
            <v>0.002239567583912912</v>
          </cell>
          <cell r="L27">
            <v>0.00015749420421328495</v>
          </cell>
          <cell r="M27">
            <v>7.874710210664247E-05</v>
          </cell>
        </row>
        <row r="44">
          <cell r="D44">
            <v>34.99</v>
          </cell>
          <cell r="F44">
            <v>70.62</v>
          </cell>
          <cell r="G44">
            <v>70.87</v>
          </cell>
          <cell r="H44">
            <v>71.2</v>
          </cell>
          <cell r="I44">
            <v>73.82</v>
          </cell>
          <cell r="K44">
            <v>870.36</v>
          </cell>
          <cell r="L44">
            <v>992.57</v>
          </cell>
          <cell r="M44">
            <v>681.07</v>
          </cell>
        </row>
        <row r="45">
          <cell r="B45">
            <v>1572.25</v>
          </cell>
          <cell r="D45">
            <v>4813.27</v>
          </cell>
          <cell r="E45">
            <v>429.64</v>
          </cell>
          <cell r="F45">
            <v>1409.88</v>
          </cell>
          <cell r="G45">
            <v>1476.83</v>
          </cell>
          <cell r="H45">
            <v>1447.81</v>
          </cell>
          <cell r="I45">
            <v>1508.75</v>
          </cell>
          <cell r="J45">
            <v>535.63</v>
          </cell>
          <cell r="K45">
            <v>2541.24</v>
          </cell>
          <cell r="L45">
            <v>7660.03</v>
          </cell>
          <cell r="M45">
            <v>2915.97</v>
          </cell>
        </row>
        <row r="46">
          <cell r="J46">
            <v>394.56</v>
          </cell>
          <cell r="M46">
            <v>112.7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0.3233894955382988</v>
          </cell>
          <cell r="F115">
            <v>0</v>
          </cell>
          <cell r="G115">
            <v>0</v>
          </cell>
          <cell r="H115">
            <v>0</v>
          </cell>
          <cell r="I115">
            <v>0.3312388956540835</v>
          </cell>
          <cell r="J115">
            <v>0.03743237578104726</v>
          </cell>
          <cell r="K115">
            <v>0</v>
          </cell>
          <cell r="L115">
            <v>0.3079392330265706</v>
          </cell>
          <cell r="M115">
            <v>0</v>
          </cell>
        </row>
        <row r="118">
          <cell r="B118">
            <v>0.11624047607728909</v>
          </cell>
          <cell r="C118">
            <v>0.018583263826164372</v>
          </cell>
          <cell r="D118">
            <v>0.029625179890315528</v>
          </cell>
          <cell r="E118">
            <v>0.07126465592870943</v>
          </cell>
          <cell r="F118">
            <v>0.006914702819037906</v>
          </cell>
          <cell r="G118">
            <v>0.310256232956338</v>
          </cell>
          <cell r="H118">
            <v>0.06598139080603826</v>
          </cell>
          <cell r="I118">
            <v>0.11528538275040949</v>
          </cell>
          <cell r="J118">
            <v>0.03975954120946796</v>
          </cell>
          <cell r="K118">
            <v>0.04838131128695585</v>
          </cell>
          <cell r="L118">
            <v>0.02641632561335575</v>
          </cell>
          <cell r="M118">
            <v>0.15129153683591842</v>
          </cell>
        </row>
      </sheetData>
      <sheetData sheetId="2">
        <row r="12">
          <cell r="O12">
            <v>134000</v>
          </cell>
        </row>
        <row r="15">
          <cell r="O15">
            <v>9000</v>
          </cell>
        </row>
        <row r="20">
          <cell r="O20">
            <v>15000</v>
          </cell>
        </row>
        <row r="21">
          <cell r="O21">
            <v>2000</v>
          </cell>
        </row>
        <row r="23">
          <cell r="O23">
            <v>20000</v>
          </cell>
        </row>
        <row r="24">
          <cell r="O24">
            <v>11000</v>
          </cell>
        </row>
        <row r="86">
          <cell r="O86">
            <v>3500</v>
          </cell>
        </row>
        <row r="126">
          <cell r="O126">
            <v>3000</v>
          </cell>
        </row>
        <row r="175">
          <cell r="O175">
            <v>6000</v>
          </cell>
        </row>
        <row r="176">
          <cell r="O176">
            <v>13000</v>
          </cell>
        </row>
        <row r="179">
          <cell r="O179">
            <v>3000</v>
          </cell>
        </row>
        <row r="183">
          <cell r="O183">
            <v>1250</v>
          </cell>
        </row>
        <row r="184">
          <cell r="O184">
            <v>2000</v>
          </cell>
        </row>
        <row r="188">
          <cell r="O188">
            <v>3000</v>
          </cell>
        </row>
        <row r="189">
          <cell r="O189">
            <v>4100</v>
          </cell>
        </row>
        <row r="201">
          <cell r="Q201">
            <v>15000</v>
          </cell>
        </row>
        <row r="202">
          <cell r="O202">
            <v>2200</v>
          </cell>
        </row>
        <row r="205">
          <cell r="O205">
            <v>1000</v>
          </cell>
        </row>
        <row r="207">
          <cell r="O207">
            <v>1000</v>
          </cell>
        </row>
        <row r="208">
          <cell r="O208">
            <v>7000</v>
          </cell>
        </row>
        <row r="211">
          <cell r="O211">
            <v>8000</v>
          </cell>
        </row>
        <row r="218">
          <cell r="O218">
            <v>10000</v>
          </cell>
        </row>
        <row r="220">
          <cell r="O220">
            <v>12000</v>
          </cell>
        </row>
        <row r="226">
          <cell r="O226">
            <v>48000</v>
          </cell>
        </row>
        <row r="233">
          <cell r="O233">
            <v>7800</v>
          </cell>
        </row>
        <row r="235">
          <cell r="O235">
            <v>101500</v>
          </cell>
        </row>
        <row r="237">
          <cell r="O237">
            <v>4400</v>
          </cell>
        </row>
      </sheetData>
      <sheetData sheetId="3">
        <row r="3">
          <cell r="H3">
            <v>6351</v>
          </cell>
        </row>
        <row r="4">
          <cell r="H4">
            <v>5445</v>
          </cell>
        </row>
        <row r="5">
          <cell r="H5">
            <v>2843.87</v>
          </cell>
        </row>
        <row r="6">
          <cell r="H6">
            <v>6990</v>
          </cell>
        </row>
        <row r="7">
          <cell r="H7">
            <v>5718.99</v>
          </cell>
        </row>
        <row r="8">
          <cell r="H8">
            <v>1233</v>
          </cell>
        </row>
        <row r="9">
          <cell r="H9">
            <v>7286</v>
          </cell>
        </row>
        <row r="10">
          <cell r="H10">
            <v>8316</v>
          </cell>
        </row>
        <row r="11">
          <cell r="H11">
            <v>789.88</v>
          </cell>
        </row>
        <row r="12">
          <cell r="H12">
            <v>1735</v>
          </cell>
        </row>
        <row r="13">
          <cell r="H13">
            <v>1484.83</v>
          </cell>
        </row>
        <row r="14">
          <cell r="H14">
            <v>1377</v>
          </cell>
        </row>
      </sheetData>
      <sheetData sheetId="4">
        <row r="37">
          <cell r="B37">
            <v>69303.485535</v>
          </cell>
          <cell r="C37">
            <v>69303.485535</v>
          </cell>
          <cell r="D37">
            <v>69348.766930625</v>
          </cell>
          <cell r="E37">
            <v>69303.485535</v>
          </cell>
          <cell r="F37">
            <v>69303.485535</v>
          </cell>
          <cell r="G37">
            <v>64000.509698125</v>
          </cell>
          <cell r="H37">
            <v>69303.485535</v>
          </cell>
          <cell r="I37">
            <v>69303.485535</v>
          </cell>
          <cell r="J37">
            <v>69348.766930625</v>
          </cell>
          <cell r="K37">
            <v>69303.485535</v>
          </cell>
          <cell r="L37">
            <v>69303.485535</v>
          </cell>
          <cell r="M37">
            <v>64000.509698125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493D-4A48-4B46-89C9-C344DBC9689B}">
  <dimension ref="A1:S127"/>
  <sheetViews>
    <sheetView tabSelected="1" workbookViewId="0" topLeftCell="A1">
      <selection activeCell="C57" sqref="C57"/>
    </sheetView>
  </sheetViews>
  <sheetFormatPr defaultColWidth="11.125" defaultRowHeight="15.75"/>
  <cols>
    <col min="1" max="1" width="8.375" style="0" customWidth="1"/>
    <col min="2" max="2" width="37.375" style="0" customWidth="1"/>
    <col min="3" max="14" width="13.125" style="0" customWidth="1"/>
    <col min="15" max="15" width="13.875" style="0" customWidth="1"/>
    <col min="16" max="16" width="30.125" style="0" customWidth="1"/>
    <col min="17" max="17" width="34.50390625" style="0" customWidth="1"/>
    <col min="18" max="26" width="10.50390625" style="0" customWidth="1"/>
  </cols>
  <sheetData>
    <row r="1" spans="2:16" ht="21">
      <c r="B1" s="1" t="s">
        <v>0</v>
      </c>
      <c r="O1" s="2"/>
      <c r="P1" s="2"/>
    </row>
    <row r="2" spans="5:16" ht="15.75" customHeight="1">
      <c r="E2" s="3" t="s">
        <v>1</v>
      </c>
      <c r="F2" s="4">
        <v>502025.55</v>
      </c>
      <c r="G2" s="5"/>
      <c r="H2" s="6" t="s">
        <v>2</v>
      </c>
      <c r="O2" s="2"/>
      <c r="P2" s="2"/>
    </row>
    <row r="3" spans="5:16" ht="15.75" customHeight="1">
      <c r="E3" s="3" t="s">
        <v>3</v>
      </c>
      <c r="F3" s="4">
        <v>407874.23</v>
      </c>
      <c r="G3" s="5"/>
      <c r="H3" s="6" t="s">
        <v>2</v>
      </c>
      <c r="O3" s="2"/>
      <c r="P3" s="2"/>
    </row>
    <row r="4" spans="5:16" ht="15.75" customHeight="1">
      <c r="E4" s="3" t="s">
        <v>4</v>
      </c>
      <c r="F4" s="4">
        <f>79245.42+80906.03</f>
        <v>160151.45</v>
      </c>
      <c r="G4" s="5"/>
      <c r="H4" s="6" t="s">
        <v>5</v>
      </c>
      <c r="O4" s="2"/>
      <c r="P4" s="2"/>
    </row>
    <row r="5" spans="5:8" ht="15.75" customHeight="1">
      <c r="E5" s="3" t="s">
        <v>6</v>
      </c>
      <c r="F5" s="4">
        <v>101280.03</v>
      </c>
      <c r="G5" s="5"/>
      <c r="H5" s="6" t="s">
        <v>5</v>
      </c>
    </row>
    <row r="6" spans="5:7" ht="15.75" customHeight="1">
      <c r="E6" s="3" t="s">
        <v>7</v>
      </c>
      <c r="F6" s="7">
        <f>F2+F3-F4+F5</f>
        <v>851028.3600000001</v>
      </c>
      <c r="G6" s="5"/>
    </row>
    <row r="7" ht="15.75" customHeight="1"/>
    <row r="8" ht="15.75" customHeight="1"/>
    <row r="9" ht="15.75" customHeight="1"/>
    <row r="10" spans="2:17" ht="15.75" customHeight="1">
      <c r="B10" s="8" t="s">
        <v>8</v>
      </c>
      <c r="C10" s="9">
        <v>45017</v>
      </c>
      <c r="D10" s="10">
        <f aca="true" t="shared" si="0" ref="D10:N10">C10+31</f>
        <v>45048</v>
      </c>
      <c r="E10" s="10">
        <f t="shared" si="0"/>
        <v>45079</v>
      </c>
      <c r="F10" s="10">
        <f t="shared" si="0"/>
        <v>45110</v>
      </c>
      <c r="G10" s="10">
        <f t="shared" si="0"/>
        <v>45141</v>
      </c>
      <c r="H10" s="10">
        <f t="shared" si="0"/>
        <v>45172</v>
      </c>
      <c r="I10" s="10">
        <f t="shared" si="0"/>
        <v>45203</v>
      </c>
      <c r="J10" s="10">
        <f t="shared" si="0"/>
        <v>45234</v>
      </c>
      <c r="K10" s="10">
        <f t="shared" si="0"/>
        <v>45265</v>
      </c>
      <c r="L10" s="10">
        <f t="shared" si="0"/>
        <v>45296</v>
      </c>
      <c r="M10" s="10">
        <f t="shared" si="0"/>
        <v>45327</v>
      </c>
      <c r="N10" s="10">
        <f t="shared" si="0"/>
        <v>45358</v>
      </c>
      <c r="O10" s="11" t="s">
        <v>9</v>
      </c>
      <c r="P10" s="11" t="s">
        <v>10</v>
      </c>
      <c r="Q10" s="12" t="s">
        <v>11</v>
      </c>
    </row>
    <row r="11" spans="3:17" ht="15.75" customHeight="1">
      <c r="C11" s="13" t="s">
        <v>12</v>
      </c>
      <c r="D11" s="13" t="s">
        <v>13</v>
      </c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  <c r="K11" s="13" t="s">
        <v>20</v>
      </c>
      <c r="L11" s="13" t="s">
        <v>21</v>
      </c>
      <c r="M11" s="13" t="s">
        <v>22</v>
      </c>
      <c r="N11" s="13" t="s">
        <v>23</v>
      </c>
      <c r="O11" s="14"/>
      <c r="P11" s="14"/>
      <c r="Q11" s="14"/>
    </row>
    <row r="12" spans="3:16" ht="15.75" customHeight="1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2" ht="15.75" customHeight="1">
      <c r="A13" s="15" t="s">
        <v>24</v>
      </c>
      <c r="B13" s="5"/>
    </row>
    <row r="14" spans="1:19" ht="15.75" customHeight="1">
      <c r="A14" s="16" t="s">
        <v>25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2:18" ht="15.75" customHeight="1" hidden="1">
      <c r="B15" s="19" t="s">
        <v>26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15.75" customHeight="1" hidden="1">
      <c r="B16" s="20" t="s">
        <v>27</v>
      </c>
      <c r="C16" s="21">
        <f>'[1]FY23 Budget Consolidate'!$O$12*'[1]Last fiscal year P&amp;L by month'!H12</f>
        <v>11132.658040416618</v>
      </c>
      <c r="D16" s="21">
        <f>'[1]FY23 Budget Consolidate'!$O$12*'[1]Last fiscal year P&amp;L by month'!I12</f>
        <v>3511.719473002305</v>
      </c>
      <c r="E16" s="21">
        <f>'[1]FY23 Budget Consolidate'!$O$12*'[1]Last fiscal year P&amp;L by month'!J12</f>
        <v>6228.651713752082</v>
      </c>
      <c r="F16" s="21">
        <f>'[1]FY23 Budget Consolidate'!$O$12*'[1]Last fiscal year P&amp;L by month'!K12</f>
        <v>1758.6781309417643</v>
      </c>
      <c r="G16" s="21">
        <f>'[1]FY23 Budget Consolidate'!$O$12*'[1]Last fiscal year P&amp;L by month'!L12</f>
        <v>1657.2159310797397</v>
      </c>
      <c r="H16" s="21">
        <f>'[1]FY23 Budget Consolidate'!$O$12*'[1]Last fiscal year P&amp;L by month'!M12</f>
        <v>1955.9657417845906</v>
      </c>
      <c r="I16" s="21">
        <f>'[1]FY23 Budget Consolidate'!$O$12*'[1]Last fiscal year P&amp;L by month'!B12</f>
        <v>22079.302047752855</v>
      </c>
      <c r="J16" s="21">
        <f>'[1]FY23 Budget Consolidate'!$O$12*'[1]Last fiscal year P&amp;L by month'!C12</f>
        <v>13646.665881442344</v>
      </c>
      <c r="K16" s="21">
        <f>'[1]FY23 Budget Consolidate'!$O$12*'[1]Last fiscal year P&amp;L by month'!D12</f>
        <v>27112.954518685536</v>
      </c>
      <c r="L16" s="21">
        <f>'[1]FY23 Budget Consolidate'!$O$12*'[1]Last fiscal year P&amp;L by month'!E12</f>
        <v>22321.68396964547</v>
      </c>
      <c r="M16" s="21">
        <f>'[1]FY23 Budget Consolidate'!$O$12*'[1]Last fiscal year P&amp;L by month'!F12</f>
        <v>11980.431088152649</v>
      </c>
      <c r="N16" s="21">
        <f>'[1]FY23 Budget Consolidate'!$O$12*'[1]Last fiscal year P&amp;L by month'!G12</f>
        <v>10614.073463344046</v>
      </c>
      <c r="O16" s="17"/>
      <c r="P16" s="17" t="s">
        <v>28</v>
      </c>
      <c r="Q16" s="17"/>
      <c r="R16" s="17"/>
    </row>
    <row r="17" spans="2:18" ht="15.75" customHeight="1" hidden="1">
      <c r="B17" s="20" t="s">
        <v>29</v>
      </c>
      <c r="C17" s="21">
        <f>'[1]FY23 Budget Consolidate'!$O$15*'[1]Last fiscal year P&amp;L by month'!H16</f>
        <v>687.6061120543294</v>
      </c>
      <c r="D17" s="21">
        <f>'[1]FY23 Budget Consolidate'!$O$15*'[1]Last fiscal year P&amp;L by month'!I16</f>
        <v>199.59677419354838</v>
      </c>
      <c r="E17" s="21">
        <f>'[1]FY23 Budget Consolidate'!$O$15*'[1]Last fiscal year P&amp;L by month'!J16</f>
        <v>346.66808149405773</v>
      </c>
      <c r="F17" s="21">
        <f>'[1]FY23 Budget Consolidate'!$O$15*'[1]Last fiscal year P&amp;L by month'!K16</f>
        <v>47.750424448217316</v>
      </c>
      <c r="G17" s="21">
        <f>'[1]FY23 Budget Consolidate'!$O$15*'[1]Last fiscal year P&amp;L by month'!L16</f>
        <v>98.36587436332768</v>
      </c>
      <c r="H17" s="21">
        <f>'[1]FY23 Budget Consolidate'!$O$15*'[1]Last fiscal year P&amp;L by month'!M16</f>
        <v>230.15704584040745</v>
      </c>
      <c r="I17" s="21">
        <f>'[1]FY23 Budget Consolidate'!$O$15*'[1]Last fiscal year P&amp;L by month'!B16</f>
        <v>1658.8497453310697</v>
      </c>
      <c r="J17" s="21">
        <f>'[1]FY23 Budget Consolidate'!$O$15*'[1]Last fiscal year P&amp;L by month'!C16</f>
        <v>1256.7911714770798</v>
      </c>
      <c r="K17" s="21">
        <f>'[1]FY23 Budget Consolidate'!$O$15*'[1]Last fiscal year P&amp;L by month'!D16</f>
        <v>1670.3098471986418</v>
      </c>
      <c r="L17" s="21">
        <f>'[1]FY23 Budget Consolidate'!$O$15*'[1]Last fiscal year P&amp;L by month'!E16</f>
        <v>1647.3896434634974</v>
      </c>
      <c r="M17" s="21">
        <f>'[1]FY23 Budget Consolidate'!$O$15*'[1]Last fiscal year P&amp;L by month'!F16</f>
        <v>660.8658743633276</v>
      </c>
      <c r="N17" s="21">
        <f>'[1]FY23 Budget Consolidate'!$O$15*'[1]Last fiscal year P&amp;L by month'!G16</f>
        <v>495.64940577249575</v>
      </c>
      <c r="O17" s="17"/>
      <c r="P17" s="17" t="s">
        <v>28</v>
      </c>
      <c r="Q17" s="17"/>
      <c r="R17" s="17"/>
    </row>
    <row r="18" spans="2:18" ht="15.75" customHeight="1">
      <c r="B18" s="20" t="s">
        <v>30</v>
      </c>
      <c r="C18" s="22">
        <f aca="true" t="shared" si="1" ref="C18:N18">SUM(C15:C17)</f>
        <v>11820.264152470947</v>
      </c>
      <c r="D18" s="22">
        <f t="shared" si="1"/>
        <v>3711.3162471958535</v>
      </c>
      <c r="E18" s="22">
        <f t="shared" si="1"/>
        <v>6575.31979524614</v>
      </c>
      <c r="F18" s="22">
        <f t="shared" si="1"/>
        <v>1806.4285553899815</v>
      </c>
      <c r="G18" s="22">
        <f t="shared" si="1"/>
        <v>1755.5818054430674</v>
      </c>
      <c r="H18" s="22">
        <f t="shared" si="1"/>
        <v>2186.122787624998</v>
      </c>
      <c r="I18" s="22">
        <f t="shared" si="1"/>
        <v>23738.151793083925</v>
      </c>
      <c r="J18" s="22">
        <f t="shared" si="1"/>
        <v>14903.457052919424</v>
      </c>
      <c r="K18" s="22">
        <f t="shared" si="1"/>
        <v>28783.264365884177</v>
      </c>
      <c r="L18" s="22">
        <f t="shared" si="1"/>
        <v>23969.07361310897</v>
      </c>
      <c r="M18" s="22">
        <f t="shared" si="1"/>
        <v>12641.296962515977</v>
      </c>
      <c r="N18" s="22">
        <f t="shared" si="1"/>
        <v>11109.722869116542</v>
      </c>
      <c r="O18" s="22">
        <f>SUM(C18:N18)</f>
        <v>143000.00000000003</v>
      </c>
      <c r="P18" s="17"/>
      <c r="Q18" s="17"/>
      <c r="R18" s="17"/>
    </row>
    <row r="19" spans="2:18" ht="15.75" customHeight="1" hidden="1">
      <c r="B19" s="19" t="s">
        <v>31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2:18" ht="15.75" customHeight="1" hidden="1">
      <c r="B20" s="20" t="s">
        <v>32</v>
      </c>
      <c r="C20" s="21">
        <f>'[1]FY23 Budget Consolidate'!$O$20*'[1]Last fiscal year P&amp;L by month'!H19</f>
        <v>377.343301904829</v>
      </c>
      <c r="D20" s="21">
        <f>'[1]FY23 Budget Consolidate'!$O$20*'[1]Last fiscal year P&amp;L by month'!I19</f>
        <v>22.1949736434688</v>
      </c>
      <c r="E20" s="21">
        <f>'[1]FY23 Budget Consolidate'!$O$20*'[1]Last fiscal year P&amp;L by month'!J19</f>
        <v>4366.401064898736</v>
      </c>
      <c r="F20" s="21">
        <f>'[1]FY23 Budget Consolidate'!$O$20*'[1]Last fiscal year P&amp;L by month'!K19</f>
        <v>4312.494878912332</v>
      </c>
      <c r="G20" s="21">
        <f>'[1]FY23 Budget Consolidate'!$O$20*'[1]Last fiscal year P&amp;L by month'!L19</f>
        <v>0</v>
      </c>
      <c r="H20" s="21">
        <f>'[1]FY23 Budget Consolidate'!$O$20*'[1]Last fiscal year P&amp;L by month'!M19</f>
        <v>59.64899166682239</v>
      </c>
      <c r="I20" s="21">
        <f>'[1]FY23 Budget Consolidate'!$O$20*'[1]Last fiscal year P&amp;L by month'!B19</f>
        <v>664.8429604989844</v>
      </c>
      <c r="J20" s="21">
        <f>'[1]FY23 Budget Consolidate'!$O$20*'[1]Last fiscal year P&amp;L by month'!C19</f>
        <v>867.4511574017507</v>
      </c>
      <c r="K20" s="21">
        <f>'[1]FY23 Budget Consolidate'!$O$20*'[1]Last fiscal year P&amp;L by month'!D19</f>
        <v>1275.7797350115648</v>
      </c>
      <c r="L20" s="21">
        <f>'[1]FY23 Budget Consolidate'!$O$20*'[1]Last fiscal year P&amp;L by month'!E19</f>
        <v>2889.371568871262</v>
      </c>
      <c r="M20" s="21">
        <f>'[1]FY23 Budget Consolidate'!$O$20*'[1]Last fiscal year P&amp;L by month'!F19</f>
        <v>71.87491464853885</v>
      </c>
      <c r="N20" s="21">
        <f>'[1]FY23 Budget Consolidate'!$O$20*'[1]Last fiscal year P&amp;L by month'!G19</f>
        <v>92.59645254171262</v>
      </c>
      <c r="O20" s="17"/>
      <c r="P20" s="17" t="s">
        <v>28</v>
      </c>
      <c r="Q20" s="17"/>
      <c r="R20" s="17"/>
    </row>
    <row r="21" spans="2:18" ht="15.75" customHeight="1" hidden="1">
      <c r="B21" s="20" t="s">
        <v>33</v>
      </c>
      <c r="C21" s="21">
        <f>'[1]FY23 Budget Consolidate'!$O$21*'[1]Last fiscal year P&amp;L by month'!H21</f>
        <v>0</v>
      </c>
      <c r="D21" s="21">
        <f>'[1]FY23 Budget Consolidate'!$O$21*'[1]Last fiscal year P&amp;L by month'!I21</f>
        <v>0</v>
      </c>
      <c r="E21" s="21">
        <f>'[1]FY23 Budget Consolidate'!$O$21*'[1]Last fiscal year P&amp;L by month'!J21</f>
        <v>833.3333333333334</v>
      </c>
      <c r="F21" s="21">
        <f>'[1]FY23 Budget Consolidate'!$O$21*'[1]Last fiscal year P&amp;L by month'!K21</f>
        <v>0</v>
      </c>
      <c r="G21" s="21">
        <f>'[1]FY23 Budget Consolidate'!$O$21*'[1]Last fiscal year P&amp;L by month'!L21</f>
        <v>0</v>
      </c>
      <c r="H21" s="21">
        <f>'[1]FY23 Budget Consolidate'!$O$21*'[1]Last fiscal year P&amp;L by month'!M21</f>
        <v>0</v>
      </c>
      <c r="I21" s="21">
        <f>'[1]FY23 Budget Consolidate'!$O$21*'[1]Last fiscal year P&amp;L by month'!B21</f>
        <v>250</v>
      </c>
      <c r="J21" s="21">
        <f>'[1]FY23 Budget Consolidate'!$O$21*'[1]Last fiscal year P&amp;L by month'!C21</f>
        <v>416.6666666666667</v>
      </c>
      <c r="K21" s="21">
        <f>'[1]FY23 Budget Consolidate'!$O$21*'[1]Last fiscal year P&amp;L by month'!D21</f>
        <v>0</v>
      </c>
      <c r="L21" s="21">
        <f>'[1]FY23 Budget Consolidate'!$O$21*'[1]Last fiscal year P&amp;L by month'!E21</f>
        <v>500</v>
      </c>
      <c r="M21" s="21">
        <f>'[1]FY23 Budget Consolidate'!$O$21*'[1]Last fiscal year P&amp;L by month'!F21</f>
        <v>0</v>
      </c>
      <c r="N21" s="21">
        <f>'[1]FY23 Budget Consolidate'!$O$21*'[1]Last fiscal year P&amp;L by month'!G21</f>
        <v>0</v>
      </c>
      <c r="O21" s="17"/>
      <c r="P21" s="17" t="s">
        <v>28</v>
      </c>
      <c r="Q21" s="17"/>
      <c r="R21" s="17"/>
    </row>
    <row r="22" spans="2:18" ht="15.75" customHeight="1" hidden="1">
      <c r="B22" s="20" t="s">
        <v>34</v>
      </c>
      <c r="C22" s="21">
        <f>'[1]FY23 Budget Consolidate'!$O$23*'[1]Last fiscal year P&amp;L by month'!H25</f>
        <v>73.83093980458005</v>
      </c>
      <c r="D22" s="21">
        <f>'[1]FY23 Budget Consolidate'!$O$23*'[1]Last fiscal year P&amp;L by month'!I25</f>
        <v>580.1002413217004</v>
      </c>
      <c r="E22" s="21">
        <f>'[1]FY23 Budget Consolidate'!$O$23*'[1]Last fiscal year P&amp;L by month'!J25</f>
        <v>775.2248679480907</v>
      </c>
      <c r="F22" s="21">
        <f>'[1]FY23 Budget Consolidate'!$O$23*'[1]Last fiscal year P&amp;L by month'!K25</f>
        <v>553.7320485343504</v>
      </c>
      <c r="G22" s="21">
        <f>'[1]FY23 Budget Consolidate'!$O$23*'[1]Last fiscal year P&amp;L by month'!L25</f>
        <v>1139.1059284135208</v>
      </c>
      <c r="H22" s="21">
        <f>'[1]FY23 Budget Consolidate'!$O$23*'[1]Last fiscal year P&amp;L by month'!M25</f>
        <v>6191.251666469785</v>
      </c>
      <c r="I22" s="21">
        <f>'[1]FY23 Budget Consolidate'!$O$23*'[1]Last fiscal year P&amp;L by month'!B25</f>
        <v>2768.6602426717523</v>
      </c>
      <c r="J22" s="21">
        <f>'[1]FY23 Budget Consolidate'!$O$23*'[1]Last fiscal year P&amp;L by month'!C25</f>
        <v>998.8271427848188</v>
      </c>
      <c r="K22" s="21">
        <f>'[1]FY23 Budget Consolidate'!$O$23*'[1]Last fiscal year P&amp;L by month'!D25</f>
        <v>743.5830366032706</v>
      </c>
      <c r="L22" s="21">
        <f>'[1]FY23 Budget Consolidate'!$O$23*'[1]Last fiscal year P&amp;L by month'!E25</f>
        <v>5645.15584656665</v>
      </c>
      <c r="M22" s="21">
        <f>'[1]FY23 Budget Consolidate'!$O$23*'[1]Last fiscal year P&amp;L by month'!F25</f>
        <v>232.04009652868018</v>
      </c>
      <c r="N22" s="21">
        <f>'[1]FY23 Budget Consolidate'!$O$23*'[1]Last fiscal year P&amp;L by month'!G25</f>
        <v>298.48794235280224</v>
      </c>
      <c r="O22" s="17"/>
      <c r="P22" s="17" t="s">
        <v>28</v>
      </c>
      <c r="Q22" s="17"/>
      <c r="R22" s="17"/>
    </row>
    <row r="23" spans="2:18" ht="15.75" customHeight="1" hidden="1">
      <c r="B23" s="20" t="s">
        <v>35</v>
      </c>
      <c r="C23" s="21">
        <f>'[1]FY23 Budget Consolidate'!$O$24*'[1]Last fiscal year P&amp;L by month'!H27</f>
        <v>14.55246446930753</v>
      </c>
      <c r="D23" s="21">
        <f>'[1]FY23 Budget Consolidate'!$O$24*'[1]Last fiscal year P&amp;L by month'!I27</f>
        <v>0</v>
      </c>
      <c r="E23" s="21">
        <f>'[1]FY23 Budget Consolidate'!$O$24*'[1]Last fiscal year P&amp;L by month'!J27</f>
        <v>4.954767664549944</v>
      </c>
      <c r="F23" s="21">
        <f>'[1]FY23 Budget Consolidate'!$O$24*'[1]Last fiscal year P&amp;L by month'!K27</f>
        <v>24.63524342304203</v>
      </c>
      <c r="G23" s="21">
        <f>'[1]FY23 Budget Consolidate'!$O$24*'[1]Last fiscal year P&amp;L by month'!L27</f>
        <v>1.7324362463461345</v>
      </c>
      <c r="H23" s="21">
        <f>'[1]FY23 Budget Consolidate'!$O$24*'[1]Last fiscal year P&amp;L by month'!M27</f>
        <v>0.8662181231730672</v>
      </c>
      <c r="I23" s="21">
        <f>'[1]FY23 Budget Consolidate'!$O$24*'[1]Last fiscal year P&amp;L by month'!B27</f>
        <v>17.705498437657493</v>
      </c>
      <c r="J23" s="21">
        <f>'[1]FY23 Budget Consolidate'!$O$24*'[1]Last fiscal year P&amp;L by month'!C27</f>
        <v>23.803674024795885</v>
      </c>
      <c r="K23" s="21">
        <f>'[1]FY23 Budget Consolidate'!$O$24*'[1]Last fiscal year P&amp;L by month'!D27</f>
        <v>38.460084668884186</v>
      </c>
      <c r="L23" s="21">
        <f>'[1]FY23 Budget Consolidate'!$O$24*'[1]Last fiscal year P&amp;L by month'!E27</f>
        <v>10841.4474347344</v>
      </c>
      <c r="M23" s="21">
        <f>'[1]FY23 Budget Consolidate'!$O$24*'[1]Last fiscal year P&amp;L by month'!F27</f>
        <v>12.64678459832678</v>
      </c>
      <c r="N23" s="21">
        <f>'[1]FY23 Budget Consolidate'!$O$24*'[1]Last fiscal year P&amp;L by month'!G27</f>
        <v>19.195393609515172</v>
      </c>
      <c r="O23" s="17"/>
      <c r="P23" s="17" t="s">
        <v>28</v>
      </c>
      <c r="Q23" s="17"/>
      <c r="R23" s="17"/>
    </row>
    <row r="24" spans="2:18" ht="15.75" customHeight="1">
      <c r="B24" s="20" t="s">
        <v>36</v>
      </c>
      <c r="C24" s="22">
        <f aca="true" t="shared" si="2" ref="C24:N24">SUM(C19:C23)</f>
        <v>465.7267061787166</v>
      </c>
      <c r="D24" s="22">
        <f t="shared" si="2"/>
        <v>602.2952149651692</v>
      </c>
      <c r="E24" s="22">
        <f t="shared" si="2"/>
        <v>5979.91403384471</v>
      </c>
      <c r="F24" s="22">
        <f t="shared" si="2"/>
        <v>4890.862170869725</v>
      </c>
      <c r="G24" s="22">
        <f t="shared" si="2"/>
        <v>1140.838364659867</v>
      </c>
      <c r="H24" s="22">
        <f t="shared" si="2"/>
        <v>6251.7668762597805</v>
      </c>
      <c r="I24" s="22">
        <f t="shared" si="2"/>
        <v>3701.208701608394</v>
      </c>
      <c r="J24" s="22">
        <f t="shared" si="2"/>
        <v>2306.748640878032</v>
      </c>
      <c r="K24" s="22">
        <f t="shared" si="2"/>
        <v>2057.8228562837194</v>
      </c>
      <c r="L24" s="22">
        <f t="shared" si="2"/>
        <v>19875.97485017231</v>
      </c>
      <c r="M24" s="22">
        <f t="shared" si="2"/>
        <v>316.5617957755458</v>
      </c>
      <c r="N24" s="22">
        <f t="shared" si="2"/>
        <v>410.27978850403</v>
      </c>
      <c r="O24" s="22">
        <f>SUM(C24:N24)</f>
        <v>47999.99999999999</v>
      </c>
      <c r="R24" s="17"/>
    </row>
    <row r="25" spans="2:18" ht="15.75" customHeight="1" hidden="1">
      <c r="B25" s="19" t="s">
        <v>37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R25" s="17"/>
    </row>
    <row r="26" spans="2:18" ht="15.75" customHeight="1" hidden="1">
      <c r="B26" s="20" t="s">
        <v>38</v>
      </c>
      <c r="C26" s="21"/>
      <c r="D26" s="21"/>
      <c r="E26" s="21"/>
      <c r="F26" s="21"/>
      <c r="G26" s="21"/>
      <c r="H26" s="21"/>
      <c r="I26" s="21"/>
      <c r="J26" s="21"/>
      <c r="K26" s="21"/>
      <c r="L26" s="21">
        <v>200000</v>
      </c>
      <c r="M26" s="21"/>
      <c r="N26" s="21">
        <v>100000</v>
      </c>
      <c r="O26" s="17"/>
      <c r="R26" s="17"/>
    </row>
    <row r="27" spans="2:18" ht="15.75" customHeight="1" hidden="1">
      <c r="B27" s="20" t="s">
        <v>39</v>
      </c>
      <c r="C27" s="21"/>
      <c r="D27" s="21"/>
      <c r="E27" s="21"/>
      <c r="F27" s="21"/>
      <c r="G27" s="21"/>
      <c r="H27" s="21"/>
      <c r="I27" s="21"/>
      <c r="J27" s="21"/>
      <c r="K27" s="21"/>
      <c r="L27" s="21">
        <v>20000</v>
      </c>
      <c r="M27" s="21"/>
      <c r="N27" s="21"/>
      <c r="O27" s="17"/>
      <c r="R27" s="17"/>
    </row>
    <row r="28" spans="2:18" ht="15.75" customHeight="1" hidden="1">
      <c r="B28" s="20" t="s">
        <v>40</v>
      </c>
      <c r="C28" s="21"/>
      <c r="D28" s="21"/>
      <c r="E28" s="21"/>
      <c r="F28" s="21"/>
      <c r="G28" s="21"/>
      <c r="H28" s="21"/>
      <c r="I28" s="21"/>
      <c r="J28" s="21"/>
      <c r="K28" s="21"/>
      <c r="L28" s="21">
        <v>2000</v>
      </c>
      <c r="M28" s="21"/>
      <c r="N28" s="21"/>
      <c r="O28" s="17"/>
      <c r="R28" s="17"/>
    </row>
    <row r="29" spans="2:18" ht="15.75" customHeight="1" hidden="1">
      <c r="B29" s="20" t="s">
        <v>41</v>
      </c>
      <c r="C29" s="21"/>
      <c r="D29" s="21"/>
      <c r="E29" s="21"/>
      <c r="F29" s="21">
        <v>142500</v>
      </c>
      <c r="G29" s="21"/>
      <c r="H29" s="21"/>
      <c r="I29" s="21"/>
      <c r="J29" s="21"/>
      <c r="K29" s="21"/>
      <c r="L29" s="21">
        <v>142500</v>
      </c>
      <c r="M29" s="21"/>
      <c r="N29" s="21"/>
      <c r="O29" s="17"/>
      <c r="R29" s="17"/>
    </row>
    <row r="30" spans="2:18" ht="15.75" customHeight="1">
      <c r="B30" s="20" t="s">
        <v>42</v>
      </c>
      <c r="C30" s="22">
        <f aca="true" t="shared" si="3" ref="C30:N30">SUM(C25:C29)</f>
        <v>0</v>
      </c>
      <c r="D30" s="22">
        <f t="shared" si="3"/>
        <v>0</v>
      </c>
      <c r="E30" s="22">
        <f t="shared" si="3"/>
        <v>0</v>
      </c>
      <c r="F30" s="22">
        <f t="shared" si="3"/>
        <v>142500</v>
      </c>
      <c r="G30" s="22">
        <f t="shared" si="3"/>
        <v>0</v>
      </c>
      <c r="H30" s="22">
        <f t="shared" si="3"/>
        <v>0</v>
      </c>
      <c r="I30" s="22">
        <f t="shared" si="3"/>
        <v>0</v>
      </c>
      <c r="J30" s="22">
        <f t="shared" si="3"/>
        <v>0</v>
      </c>
      <c r="K30" s="22">
        <f t="shared" si="3"/>
        <v>0</v>
      </c>
      <c r="L30" s="22">
        <f t="shared" si="3"/>
        <v>364500</v>
      </c>
      <c r="M30" s="22">
        <f t="shared" si="3"/>
        <v>0</v>
      </c>
      <c r="N30" s="22">
        <f t="shared" si="3"/>
        <v>100000</v>
      </c>
      <c r="O30" s="22">
        <f>SUM(C30:N30)</f>
        <v>607000</v>
      </c>
      <c r="R30" s="17"/>
    </row>
    <row r="31" spans="2:18" ht="15.75" customHeight="1">
      <c r="B31" s="19" t="s">
        <v>43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 t="s">
        <v>44</v>
      </c>
      <c r="R31" s="17"/>
    </row>
    <row r="32" spans="2:18" ht="15.75" customHeight="1" hidden="1">
      <c r="B32" s="20" t="s">
        <v>45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7"/>
      <c r="Q32" s="17"/>
      <c r="R32" s="17"/>
    </row>
    <row r="33" spans="2:18" ht="15.75" customHeight="1" hidden="1">
      <c r="B33" s="20" t="s">
        <v>46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7"/>
      <c r="P33" s="17"/>
      <c r="Q33" s="17"/>
      <c r="R33" s="17"/>
    </row>
    <row r="34" spans="2:18" ht="15.75" customHeight="1" hidden="1">
      <c r="B34" s="20" t="s">
        <v>47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7"/>
      <c r="Q34" s="17"/>
      <c r="R34" s="17"/>
    </row>
    <row r="35" spans="2:18" ht="15.75" customHeight="1">
      <c r="B35" s="20" t="s">
        <v>48</v>
      </c>
      <c r="C35" s="21">
        <f>'[1]Last fiscal year P&amp;L by month'!H44+'[1]Last fiscal year P&amp;L by month'!H45+'[1]Last fiscal year P&amp;L by month'!H46</f>
        <v>1519.01</v>
      </c>
      <c r="D35" s="21">
        <f>'[1]Last fiscal year P&amp;L by month'!I44+'[1]Last fiscal year P&amp;L by month'!I45+'[1]Last fiscal year P&amp;L by month'!I46</f>
        <v>1582.57</v>
      </c>
      <c r="E35" s="21">
        <f>'[1]Last fiscal year P&amp;L by month'!J44+'[1]Last fiscal year P&amp;L by month'!J45+'[1]Last fiscal year P&amp;L by month'!J46</f>
        <v>930.19</v>
      </c>
      <c r="F35" s="21">
        <f>'[1]Last fiscal year P&amp;L by month'!K44+'[1]Last fiscal year P&amp;L by month'!K45+'[1]Last fiscal year P&amp;L by month'!K46</f>
        <v>3411.6</v>
      </c>
      <c r="G35" s="21">
        <f>'[1]Last fiscal year P&amp;L by month'!L44+'[1]Last fiscal year P&amp;L by month'!L45+'[1]Last fiscal year P&amp;L by month'!L46</f>
        <v>8652.6</v>
      </c>
      <c r="H35" s="21">
        <f>'[1]Last fiscal year P&amp;L by month'!M44+'[1]Last fiscal year P&amp;L by month'!M45+'[1]Last fiscal year P&amp;L by month'!M46</f>
        <v>3709.74</v>
      </c>
      <c r="I35" s="21">
        <f>'[1]Last fiscal year P&amp;L by month'!B44+'[1]Last fiscal year P&amp;L by month'!B45+'[1]Last fiscal year P&amp;L by month'!B46</f>
        <v>1572.25</v>
      </c>
      <c r="J35" s="21">
        <f>'[1]Last fiscal year P&amp;L by month'!C44+'[1]Last fiscal year P&amp;L by month'!C45+'[1]Last fiscal year P&amp;L by month'!C46</f>
        <v>0</v>
      </c>
      <c r="K35" s="21">
        <f>'[1]Last fiscal year P&amp;L by month'!D44+'[1]Last fiscal year P&amp;L by month'!D45+'[1]Last fiscal year P&amp;L by month'!D46</f>
        <v>4848.26</v>
      </c>
      <c r="L35" s="21">
        <f>'[1]Last fiscal year P&amp;L by month'!E44+'[1]Last fiscal year P&amp;L by month'!E45+'[1]Last fiscal year P&amp;L by month'!E46</f>
        <v>429.64</v>
      </c>
      <c r="M35" s="21">
        <f>'[1]Last fiscal year P&amp;L by month'!F44+'[1]Last fiscal year P&amp;L by month'!F45+'[1]Last fiscal year P&amp;L by month'!F46</f>
        <v>1480.5</v>
      </c>
      <c r="N35" s="21">
        <f>'[1]Last fiscal year P&amp;L by month'!G44+'[1]Last fiscal year P&amp;L by month'!G45+'[1]Last fiscal year P&amp;L by month'!G46</f>
        <v>1547.6999999999998</v>
      </c>
      <c r="O35" s="17"/>
      <c r="P35" s="17" t="s">
        <v>49</v>
      </c>
      <c r="Q35" s="17" t="s">
        <v>50</v>
      </c>
      <c r="R35" s="17"/>
    </row>
    <row r="36" spans="2:18" ht="15.75" customHeight="1">
      <c r="B36" s="20" t="s">
        <v>51</v>
      </c>
      <c r="C36" s="22">
        <f aca="true" t="shared" si="4" ref="C36:N36">SUM(C31:C35)</f>
        <v>1519.01</v>
      </c>
      <c r="D36" s="22">
        <f t="shared" si="4"/>
        <v>1582.57</v>
      </c>
      <c r="E36" s="22">
        <f t="shared" si="4"/>
        <v>930.19</v>
      </c>
      <c r="F36" s="22">
        <f t="shared" si="4"/>
        <v>3411.6</v>
      </c>
      <c r="G36" s="22">
        <f t="shared" si="4"/>
        <v>8652.6</v>
      </c>
      <c r="H36" s="22">
        <f t="shared" si="4"/>
        <v>3709.74</v>
      </c>
      <c r="I36" s="22">
        <f t="shared" si="4"/>
        <v>1572.25</v>
      </c>
      <c r="J36" s="22">
        <f t="shared" si="4"/>
        <v>0</v>
      </c>
      <c r="K36" s="22">
        <f t="shared" si="4"/>
        <v>4848.26</v>
      </c>
      <c r="L36" s="22">
        <f t="shared" si="4"/>
        <v>429.64</v>
      </c>
      <c r="M36" s="22">
        <f t="shared" si="4"/>
        <v>1480.5</v>
      </c>
      <c r="N36" s="22">
        <f t="shared" si="4"/>
        <v>1547.6999999999998</v>
      </c>
      <c r="O36" s="22">
        <f>SUM(C36:N36)</f>
        <v>29684.06</v>
      </c>
      <c r="P36" s="17"/>
      <c r="Q36" s="17"/>
      <c r="R36" s="17"/>
    </row>
    <row r="37" spans="2:18" ht="15" customHeight="1">
      <c r="B37" s="20" t="s">
        <v>52</v>
      </c>
      <c r="C37" s="21"/>
      <c r="D37" s="21">
        <f>750+1000</f>
        <v>1750</v>
      </c>
      <c r="E37" s="21">
        <v>13125</v>
      </c>
      <c r="F37" s="21"/>
      <c r="G37" s="21"/>
      <c r="H37" s="21">
        <f>13125+12000</f>
        <v>25125</v>
      </c>
      <c r="I37" s="21"/>
      <c r="J37" s="21"/>
      <c r="K37" s="21">
        <v>13125</v>
      </c>
      <c r="L37" s="21"/>
      <c r="M37" s="21">
        <v>12000</v>
      </c>
      <c r="N37" s="21">
        <v>13125</v>
      </c>
      <c r="O37" s="17"/>
      <c r="P37" s="17" t="s">
        <v>53</v>
      </c>
      <c r="Q37" s="17"/>
      <c r="R37" s="17"/>
    </row>
    <row r="38" spans="2:18" ht="15.75" customHeight="1">
      <c r="B38" s="20" t="s">
        <v>54</v>
      </c>
      <c r="C38" s="21">
        <v>10000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7"/>
      <c r="P38" s="17"/>
      <c r="Q38" s="17"/>
      <c r="R38" s="17"/>
    </row>
    <row r="39" spans="2:18" ht="15.75" customHeight="1">
      <c r="B39" s="20" t="s">
        <v>55</v>
      </c>
      <c r="C39" s="23">
        <f>SUM(C37:C38)</f>
        <v>10000</v>
      </c>
      <c r="D39" s="23">
        <f>SUM(D37:D38)</f>
        <v>1750</v>
      </c>
      <c r="E39" s="23">
        <f>SUM(E37:E38)</f>
        <v>13125</v>
      </c>
      <c r="F39" s="23">
        <f>SUM(F37:F38)</f>
        <v>0</v>
      </c>
      <c r="G39" s="23">
        <f>SUM(G37:G38)</f>
        <v>0</v>
      </c>
      <c r="H39" s="23">
        <f>SUM(H37:H38)</f>
        <v>25125</v>
      </c>
      <c r="I39" s="23">
        <f>SUM(I37:I38)</f>
        <v>0</v>
      </c>
      <c r="J39" s="23">
        <f>SUM(J37:J38)</f>
        <v>0</v>
      </c>
      <c r="K39" s="23">
        <f>SUM(K37:K38)</f>
        <v>13125</v>
      </c>
      <c r="L39" s="23">
        <f>SUM(L37:L38)</f>
        <v>0</v>
      </c>
      <c r="M39" s="23">
        <f>SUM(M37:M38)</f>
        <v>12000</v>
      </c>
      <c r="N39" s="23">
        <f>SUM(N37:N38)</f>
        <v>13125</v>
      </c>
      <c r="O39" s="22">
        <f>SUM(C39:N39)</f>
        <v>88250</v>
      </c>
      <c r="P39" s="17"/>
      <c r="Q39" s="17"/>
      <c r="R39" s="17"/>
    </row>
    <row r="40" spans="2:18" ht="15.75" customHeight="1">
      <c r="B40" s="20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7"/>
      <c r="Q40" s="17"/>
      <c r="R40" s="17"/>
    </row>
    <row r="41" spans="1:18" ht="15.75" customHeight="1">
      <c r="A41" s="25" t="s">
        <v>56</v>
      </c>
      <c r="B41" s="25"/>
      <c r="C41" s="26">
        <f>C18+C24+C30+C36+C39</f>
        <v>23805.000858649662</v>
      </c>
      <c r="D41" s="26">
        <f>D18+D24+D30+D36+D39</f>
        <v>7646.181462161023</v>
      </c>
      <c r="E41" s="26">
        <f>E18+E24+E30+E36+E39</f>
        <v>26610.423829090847</v>
      </c>
      <c r="F41" s="26">
        <f>F18+F24+F30+F36+F39</f>
        <v>152608.8907262597</v>
      </c>
      <c r="G41" s="26">
        <f>G18+G24+G30+G36+G39</f>
        <v>11549.020170102935</v>
      </c>
      <c r="H41" s="26">
        <f>H18+H24+H30+H36+H39</f>
        <v>37272.62966388478</v>
      </c>
      <c r="I41" s="26">
        <f>I18+I24+I30+I36+I39</f>
        <v>29011.61049469232</v>
      </c>
      <c r="J41" s="26">
        <f>J18+J24+J30+J36+J39</f>
        <v>17210.205693797456</v>
      </c>
      <c r="K41" s="26">
        <f>K18+K24+K30+K36+K39</f>
        <v>48814.3472221679</v>
      </c>
      <c r="L41" s="26">
        <f>L18+L24+L30+L36+L39</f>
        <v>408774.6884632813</v>
      </c>
      <c r="M41" s="26">
        <f>M18+M24+M30+M36+M39</f>
        <v>26438.35875829152</v>
      </c>
      <c r="N41" s="26">
        <f>N18+N24+N30+N36+N39</f>
        <v>126192.70265762057</v>
      </c>
      <c r="O41" s="26">
        <f>SUM(O18:O39)</f>
        <v>915934.06</v>
      </c>
      <c r="P41" s="17"/>
      <c r="Q41" s="17"/>
      <c r="R41" s="17"/>
    </row>
    <row r="42" spans="3:18" ht="15.7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15.75" customHeight="1">
      <c r="A43" s="16" t="s">
        <v>57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8" ht="15.75" customHeight="1">
      <c r="B44" s="19" t="s">
        <v>58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7"/>
      <c r="Q44" s="17"/>
      <c r="R44" s="17"/>
    </row>
    <row r="45" spans="2:18" ht="15.75" customHeight="1">
      <c r="B45" s="20" t="s">
        <v>59</v>
      </c>
      <c r="C45" s="21">
        <f>'[1]Payroll Expense'!B37</f>
        <v>69303.485535</v>
      </c>
      <c r="D45" s="21">
        <f>'[1]Payroll Expense'!C37</f>
        <v>69303.485535</v>
      </c>
      <c r="E45" s="21">
        <f>'[1]Payroll Expense'!D37</f>
        <v>69348.766930625</v>
      </c>
      <c r="F45" s="21">
        <f>'[1]Payroll Expense'!E37</f>
        <v>69303.485535</v>
      </c>
      <c r="G45" s="21">
        <f>'[1]Payroll Expense'!F37</f>
        <v>69303.485535</v>
      </c>
      <c r="H45" s="21">
        <f>'[1]Payroll Expense'!G37</f>
        <v>64000.509698125</v>
      </c>
      <c r="I45" s="21">
        <f>'[1]Payroll Expense'!H37</f>
        <v>69303.485535</v>
      </c>
      <c r="J45" s="21">
        <f>'[1]Payroll Expense'!I37</f>
        <v>69303.485535</v>
      </c>
      <c r="K45" s="21">
        <f>'[1]Payroll Expense'!J37</f>
        <v>69348.766930625</v>
      </c>
      <c r="L45" s="21">
        <f>'[1]Payroll Expense'!K37</f>
        <v>69303.485535</v>
      </c>
      <c r="M45" s="21">
        <f>'[1]Payroll Expense'!L37</f>
        <v>69303.485535</v>
      </c>
      <c r="N45" s="21">
        <f>'[1]Payroll Expense'!M37</f>
        <v>64000.509698125</v>
      </c>
      <c r="O45" s="17"/>
      <c r="P45" s="27" t="s">
        <v>60</v>
      </c>
      <c r="Q45" s="17"/>
      <c r="R45" s="17"/>
    </row>
    <row r="46" spans="2:18" ht="15.75" customHeight="1">
      <c r="B46" s="20" t="s">
        <v>61</v>
      </c>
      <c r="C46" s="21">
        <f>'[1]FY23 Budget Consolidate'!O86/12</f>
        <v>291.6666666666667</v>
      </c>
      <c r="D46" s="21">
        <f aca="true" t="shared" si="5" ref="D46:N46">$C$46</f>
        <v>291.6666666666667</v>
      </c>
      <c r="E46" s="21">
        <f t="shared" si="5"/>
        <v>291.6666666666667</v>
      </c>
      <c r="F46" s="21">
        <f t="shared" si="5"/>
        <v>291.6666666666667</v>
      </c>
      <c r="G46" s="21">
        <f t="shared" si="5"/>
        <v>291.6666666666667</v>
      </c>
      <c r="H46" s="21">
        <f t="shared" si="5"/>
        <v>291.6666666666667</v>
      </c>
      <c r="I46" s="21">
        <f t="shared" si="5"/>
        <v>291.6666666666667</v>
      </c>
      <c r="J46" s="21">
        <f t="shared" si="5"/>
        <v>291.6666666666667</v>
      </c>
      <c r="K46" s="21">
        <f t="shared" si="5"/>
        <v>291.6666666666667</v>
      </c>
      <c r="L46" s="21">
        <f t="shared" si="5"/>
        <v>291.6666666666667</v>
      </c>
      <c r="M46" s="21">
        <f t="shared" si="5"/>
        <v>291.6666666666667</v>
      </c>
      <c r="N46" s="21">
        <f t="shared" si="5"/>
        <v>291.6666666666667</v>
      </c>
      <c r="O46" s="17"/>
      <c r="P46" s="17" t="s">
        <v>62</v>
      </c>
      <c r="Q46" s="17"/>
      <c r="R46" s="17"/>
    </row>
    <row r="47" spans="2:18" ht="15.75" customHeight="1">
      <c r="B47" s="20" t="s">
        <v>63</v>
      </c>
      <c r="C47" s="22">
        <f aca="true" t="shared" si="6" ref="C47:N47">SUM(C44:C46)</f>
        <v>69595.15220166667</v>
      </c>
      <c r="D47" s="22">
        <f t="shared" si="6"/>
        <v>69595.15220166667</v>
      </c>
      <c r="E47" s="22">
        <f t="shared" si="6"/>
        <v>69640.43359729167</v>
      </c>
      <c r="F47" s="22">
        <f t="shared" si="6"/>
        <v>69595.15220166667</v>
      </c>
      <c r="G47" s="22">
        <f t="shared" si="6"/>
        <v>69595.15220166667</v>
      </c>
      <c r="H47" s="22">
        <f t="shared" si="6"/>
        <v>64292.17636479167</v>
      </c>
      <c r="I47" s="22">
        <f t="shared" si="6"/>
        <v>69595.15220166667</v>
      </c>
      <c r="J47" s="22">
        <f t="shared" si="6"/>
        <v>69595.15220166667</v>
      </c>
      <c r="K47" s="22">
        <f t="shared" si="6"/>
        <v>69640.43359729167</v>
      </c>
      <c r="L47" s="22">
        <f t="shared" si="6"/>
        <v>69595.15220166667</v>
      </c>
      <c r="M47" s="22">
        <f t="shared" si="6"/>
        <v>69595.15220166667</v>
      </c>
      <c r="N47" s="22">
        <f t="shared" si="6"/>
        <v>64292.17636479167</v>
      </c>
      <c r="O47" s="22">
        <f>SUM(C47:N47)</f>
        <v>824626.4375375</v>
      </c>
      <c r="P47" s="17"/>
      <c r="Q47" s="17"/>
      <c r="R47" s="17"/>
    </row>
    <row r="48" spans="2:18" ht="15.75" customHeight="1">
      <c r="B48" s="19" t="s">
        <v>64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2:18" ht="15.75" customHeight="1">
      <c r="B49" s="20" t="s">
        <v>65</v>
      </c>
      <c r="C49" s="21"/>
      <c r="D49" s="21"/>
      <c r="E49" s="21"/>
      <c r="F49" s="21"/>
      <c r="G49" s="21"/>
      <c r="H49" s="21"/>
      <c r="I49" s="21"/>
      <c r="J49" s="21"/>
      <c r="K49" s="21"/>
      <c r="L49" s="21">
        <v>22500</v>
      </c>
      <c r="M49" s="21"/>
      <c r="N49" s="21"/>
      <c r="O49" s="17"/>
      <c r="P49" s="17" t="s">
        <v>66</v>
      </c>
      <c r="Q49" s="17"/>
      <c r="R49" s="17"/>
    </row>
    <row r="50" spans="2:18" ht="15.75" customHeight="1">
      <c r="B50" s="20" t="s">
        <v>67</v>
      </c>
      <c r="C50" s="21">
        <f>'[1]FY23 Budget Consolidate'!O126/12</f>
        <v>250</v>
      </c>
      <c r="D50" s="21">
        <f aca="true" t="shared" si="7" ref="D50:N50">$C$50</f>
        <v>250</v>
      </c>
      <c r="E50" s="21">
        <f t="shared" si="7"/>
        <v>250</v>
      </c>
      <c r="F50" s="21">
        <f t="shared" si="7"/>
        <v>250</v>
      </c>
      <c r="G50" s="21">
        <f t="shared" si="7"/>
        <v>250</v>
      </c>
      <c r="H50" s="21">
        <f t="shared" si="7"/>
        <v>250</v>
      </c>
      <c r="I50" s="21">
        <f t="shared" si="7"/>
        <v>250</v>
      </c>
      <c r="J50" s="21">
        <f t="shared" si="7"/>
        <v>250</v>
      </c>
      <c r="K50" s="21">
        <f t="shared" si="7"/>
        <v>250</v>
      </c>
      <c r="L50" s="21">
        <f t="shared" si="7"/>
        <v>250</v>
      </c>
      <c r="M50" s="21">
        <f t="shared" si="7"/>
        <v>250</v>
      </c>
      <c r="N50" s="21">
        <f t="shared" si="7"/>
        <v>250</v>
      </c>
      <c r="O50" s="17"/>
      <c r="P50" s="17" t="s">
        <v>68</v>
      </c>
      <c r="Q50" s="17"/>
      <c r="R50" s="17"/>
    </row>
    <row r="51" spans="2:18" ht="15.75" customHeight="1">
      <c r="B51" s="20" t="s">
        <v>69</v>
      </c>
      <c r="C51" s="22">
        <f aca="true" t="shared" si="8" ref="C51:N51">SUM(C48:C50)</f>
        <v>250</v>
      </c>
      <c r="D51" s="22">
        <f t="shared" si="8"/>
        <v>250</v>
      </c>
      <c r="E51" s="22">
        <f t="shared" si="8"/>
        <v>250</v>
      </c>
      <c r="F51" s="22">
        <f t="shared" si="8"/>
        <v>250</v>
      </c>
      <c r="G51" s="22">
        <f t="shared" si="8"/>
        <v>250</v>
      </c>
      <c r="H51" s="22">
        <f t="shared" si="8"/>
        <v>250</v>
      </c>
      <c r="I51" s="22">
        <f t="shared" si="8"/>
        <v>250</v>
      </c>
      <c r="J51" s="22">
        <f t="shared" si="8"/>
        <v>250</v>
      </c>
      <c r="K51" s="22">
        <f t="shared" si="8"/>
        <v>250</v>
      </c>
      <c r="L51" s="22">
        <f t="shared" si="8"/>
        <v>22750</v>
      </c>
      <c r="M51" s="22">
        <f t="shared" si="8"/>
        <v>250</v>
      </c>
      <c r="N51" s="22">
        <f t="shared" si="8"/>
        <v>250</v>
      </c>
      <c r="O51" s="22">
        <f>SUM(C51:N51)</f>
        <v>25500</v>
      </c>
      <c r="P51" s="17"/>
      <c r="Q51" s="17"/>
      <c r="R51" s="17"/>
    </row>
    <row r="52" spans="2:18" ht="15.75" customHeight="1" hidden="1">
      <c r="B52" s="20" t="s">
        <v>70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2:18" ht="15.75" customHeight="1" hidden="1">
      <c r="B53" s="20" t="s">
        <v>71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7"/>
      <c r="Q53" s="17"/>
      <c r="R53" s="17"/>
    </row>
    <row r="54" spans="2:18" ht="15.75" customHeight="1" hidden="1">
      <c r="B54" s="20" t="s">
        <v>72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7"/>
      <c r="P54" s="17"/>
      <c r="Q54" s="17"/>
      <c r="R54" s="17"/>
    </row>
    <row r="55" spans="2:18" ht="15.75" customHeight="1" hidden="1">
      <c r="B55" s="20" t="s">
        <v>73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7"/>
      <c r="P55" s="17"/>
      <c r="Q55" s="17"/>
      <c r="R55" s="17"/>
    </row>
    <row r="56" spans="2:18" ht="15.75" customHeight="1" hidden="1">
      <c r="B56" s="20" t="s">
        <v>74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17"/>
      <c r="P56" s="17"/>
      <c r="Q56" s="17"/>
      <c r="R56" s="17"/>
    </row>
    <row r="57" spans="2:18" ht="15.75" customHeight="1">
      <c r="B57" s="20" t="s">
        <v>75</v>
      </c>
      <c r="C57" s="22">
        <f aca="true" t="shared" si="9" ref="C57:N57">SUM(C52:C56)</f>
        <v>0</v>
      </c>
      <c r="D57" s="22">
        <f t="shared" si="9"/>
        <v>0</v>
      </c>
      <c r="E57" s="22">
        <f t="shared" si="9"/>
        <v>0</v>
      </c>
      <c r="F57" s="22">
        <f t="shared" si="9"/>
        <v>0</v>
      </c>
      <c r="G57" s="22">
        <f t="shared" si="9"/>
        <v>0</v>
      </c>
      <c r="H57" s="22">
        <f t="shared" si="9"/>
        <v>0</v>
      </c>
      <c r="I57" s="22">
        <f t="shared" si="9"/>
        <v>0</v>
      </c>
      <c r="J57" s="22">
        <f t="shared" si="9"/>
        <v>0</v>
      </c>
      <c r="K57" s="22">
        <f t="shared" si="9"/>
        <v>0</v>
      </c>
      <c r="L57" s="22">
        <f t="shared" si="9"/>
        <v>0</v>
      </c>
      <c r="M57" s="22">
        <f t="shared" si="9"/>
        <v>0</v>
      </c>
      <c r="N57" s="22">
        <f t="shared" si="9"/>
        <v>0</v>
      </c>
      <c r="O57" s="22">
        <f>SUM(C57:N57)</f>
        <v>0</v>
      </c>
      <c r="P57" s="19" t="s">
        <v>44</v>
      </c>
      <c r="Q57" s="17"/>
      <c r="R57" s="17"/>
    </row>
    <row r="58" spans="2:18" ht="15.75" customHeight="1" hidden="1">
      <c r="B58" s="19" t="s">
        <v>76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2:18" ht="15.75" customHeight="1" hidden="1">
      <c r="B59" s="20" t="s">
        <v>77</v>
      </c>
      <c r="C59" s="21">
        <v>1692</v>
      </c>
      <c r="D59" s="21">
        <v>1692</v>
      </c>
      <c r="E59" s="21">
        <v>1692</v>
      </c>
      <c r="F59" s="21">
        <v>1692</v>
      </c>
      <c r="G59" s="21">
        <v>1692</v>
      </c>
      <c r="H59" s="21">
        <v>1692</v>
      </c>
      <c r="I59" s="21">
        <v>1692</v>
      </c>
      <c r="J59" s="21">
        <v>1692</v>
      </c>
      <c r="K59" s="21">
        <v>1692</v>
      </c>
      <c r="L59" s="21">
        <v>1692</v>
      </c>
      <c r="M59" s="21">
        <v>1692</v>
      </c>
      <c r="N59" s="21">
        <v>1692</v>
      </c>
      <c r="O59" s="17"/>
      <c r="P59" s="17" t="s">
        <v>78</v>
      </c>
      <c r="Q59" s="17"/>
      <c r="R59" s="17"/>
    </row>
    <row r="60" spans="2:18" ht="15.75" customHeight="1" hidden="1">
      <c r="B60" s="20" t="s">
        <v>79</v>
      </c>
      <c r="C60" s="21">
        <v>1600</v>
      </c>
      <c r="D60" s="21">
        <v>1600</v>
      </c>
      <c r="E60" s="21">
        <v>1600</v>
      </c>
      <c r="F60" s="21">
        <v>1600</v>
      </c>
      <c r="G60" s="21">
        <v>1600</v>
      </c>
      <c r="H60" s="21">
        <v>1600</v>
      </c>
      <c r="I60" s="21">
        <v>1600</v>
      </c>
      <c r="J60" s="21">
        <v>1600</v>
      </c>
      <c r="K60" s="21">
        <v>1600</v>
      </c>
      <c r="L60" s="21">
        <v>1600</v>
      </c>
      <c r="M60" s="21">
        <v>1600</v>
      </c>
      <c r="N60" s="21">
        <v>1600</v>
      </c>
      <c r="O60" s="17"/>
      <c r="P60" s="17" t="s">
        <v>78</v>
      </c>
      <c r="Q60" s="17"/>
      <c r="R60" s="17"/>
    </row>
    <row r="61" spans="2:18" ht="15.75" customHeight="1" hidden="1">
      <c r="B61" s="20" t="s">
        <v>80</v>
      </c>
      <c r="C61" s="21">
        <v>560</v>
      </c>
      <c r="D61" s="21">
        <v>560</v>
      </c>
      <c r="E61" s="21">
        <v>560</v>
      </c>
      <c r="F61" s="21">
        <v>560</v>
      </c>
      <c r="G61" s="21">
        <v>560</v>
      </c>
      <c r="H61" s="21">
        <v>560</v>
      </c>
      <c r="I61" s="21">
        <v>560</v>
      </c>
      <c r="J61" s="21">
        <v>560</v>
      </c>
      <c r="K61" s="21">
        <v>560</v>
      </c>
      <c r="L61" s="21">
        <v>560</v>
      </c>
      <c r="M61" s="21">
        <v>560</v>
      </c>
      <c r="N61" s="21">
        <v>560</v>
      </c>
      <c r="O61" s="17"/>
      <c r="P61" s="17" t="s">
        <v>78</v>
      </c>
      <c r="Q61" s="17"/>
      <c r="R61" s="17"/>
    </row>
    <row r="62" spans="2:18" ht="15.75" customHeight="1" hidden="1">
      <c r="B62" s="20" t="s">
        <v>81</v>
      </c>
      <c r="C62" s="21">
        <f aca="true" t="shared" si="10" ref="C62:N62">40000/12</f>
        <v>3333.3333333333335</v>
      </c>
      <c r="D62" s="21">
        <f t="shared" si="10"/>
        <v>3333.3333333333335</v>
      </c>
      <c r="E62" s="21">
        <f t="shared" si="10"/>
        <v>3333.3333333333335</v>
      </c>
      <c r="F62" s="21">
        <f t="shared" si="10"/>
        <v>3333.3333333333335</v>
      </c>
      <c r="G62" s="21">
        <f t="shared" si="10"/>
        <v>3333.3333333333335</v>
      </c>
      <c r="H62" s="21">
        <f t="shared" si="10"/>
        <v>3333.3333333333335</v>
      </c>
      <c r="I62" s="21">
        <f t="shared" si="10"/>
        <v>3333.3333333333335</v>
      </c>
      <c r="J62" s="21">
        <f t="shared" si="10"/>
        <v>3333.3333333333335</v>
      </c>
      <c r="K62" s="21">
        <f t="shared" si="10"/>
        <v>3333.3333333333335</v>
      </c>
      <c r="L62" s="21">
        <f t="shared" si="10"/>
        <v>3333.3333333333335</v>
      </c>
      <c r="M62" s="21">
        <f t="shared" si="10"/>
        <v>3333.3333333333335</v>
      </c>
      <c r="N62" s="21">
        <f t="shared" si="10"/>
        <v>3333.3333333333335</v>
      </c>
      <c r="O62" s="17"/>
      <c r="Q62" s="17"/>
      <c r="R62" s="17"/>
    </row>
    <row r="63" spans="2:18" ht="15.75" customHeight="1">
      <c r="B63" s="20" t="s">
        <v>82</v>
      </c>
      <c r="C63" s="22">
        <f aca="true" t="shared" si="11" ref="C63:N63">SUM(C58:C62)</f>
        <v>7185.333333333334</v>
      </c>
      <c r="D63" s="22">
        <f t="shared" si="11"/>
        <v>7185.333333333334</v>
      </c>
      <c r="E63" s="22">
        <f t="shared" si="11"/>
        <v>7185.333333333334</v>
      </c>
      <c r="F63" s="22">
        <f t="shared" si="11"/>
        <v>7185.333333333334</v>
      </c>
      <c r="G63" s="22">
        <f t="shared" si="11"/>
        <v>7185.333333333334</v>
      </c>
      <c r="H63" s="22">
        <f t="shared" si="11"/>
        <v>7185.333333333334</v>
      </c>
      <c r="I63" s="22">
        <f t="shared" si="11"/>
        <v>7185.333333333334</v>
      </c>
      <c r="J63" s="22">
        <f t="shared" si="11"/>
        <v>7185.333333333334</v>
      </c>
      <c r="K63" s="22">
        <f t="shared" si="11"/>
        <v>7185.333333333334</v>
      </c>
      <c r="L63" s="22">
        <f t="shared" si="11"/>
        <v>7185.333333333334</v>
      </c>
      <c r="M63" s="22">
        <f t="shared" si="11"/>
        <v>7185.333333333334</v>
      </c>
      <c r="N63" s="22">
        <f t="shared" si="11"/>
        <v>7185.333333333334</v>
      </c>
      <c r="O63" s="22">
        <f>SUM(C63:N63)</f>
        <v>86224</v>
      </c>
      <c r="P63" s="17" t="s">
        <v>78</v>
      </c>
      <c r="Q63" s="17"/>
      <c r="R63" s="17"/>
    </row>
    <row r="64" spans="2:18" ht="15.75" customHeight="1" hidden="1">
      <c r="B64" s="19" t="s">
        <v>83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2:18" ht="15.75" customHeight="1" hidden="1">
      <c r="B65" s="20" t="s">
        <v>84</v>
      </c>
      <c r="C65" s="21">
        <v>250</v>
      </c>
      <c r="D65" s="21">
        <v>250</v>
      </c>
      <c r="E65" s="21">
        <v>250</v>
      </c>
      <c r="F65" s="21">
        <v>250</v>
      </c>
      <c r="G65" s="21">
        <v>250</v>
      </c>
      <c r="H65" s="21">
        <v>250</v>
      </c>
      <c r="I65" s="21">
        <f>250+11160</f>
        <v>11410</v>
      </c>
      <c r="J65" s="21">
        <v>250</v>
      </c>
      <c r="K65" s="21">
        <v>250</v>
      </c>
      <c r="L65" s="21">
        <v>250</v>
      </c>
      <c r="M65" s="21">
        <v>250</v>
      </c>
      <c r="N65" s="21">
        <v>250</v>
      </c>
      <c r="O65" s="17"/>
      <c r="P65" s="17" t="s">
        <v>85</v>
      </c>
      <c r="Q65" s="17"/>
      <c r="R65" s="17"/>
    </row>
    <row r="66" spans="2:18" ht="15.75" customHeight="1" hidden="1">
      <c r="B66" s="20" t="s">
        <v>86</v>
      </c>
      <c r="C66" s="21">
        <v>667</v>
      </c>
      <c r="D66" s="21">
        <v>667</v>
      </c>
      <c r="E66" s="21">
        <v>667</v>
      </c>
      <c r="F66" s="21">
        <v>667</v>
      </c>
      <c r="G66" s="21">
        <v>667</v>
      </c>
      <c r="H66" s="21">
        <v>667</v>
      </c>
      <c r="I66" s="21">
        <v>667</v>
      </c>
      <c r="J66" s="21">
        <v>667</v>
      </c>
      <c r="K66" s="21">
        <v>667</v>
      </c>
      <c r="L66" s="21">
        <v>667</v>
      </c>
      <c r="M66" s="21">
        <v>667</v>
      </c>
      <c r="N66" s="21">
        <v>667</v>
      </c>
      <c r="O66" s="17"/>
      <c r="P66" s="17" t="s">
        <v>68</v>
      </c>
      <c r="Q66" s="17"/>
      <c r="R66" s="17"/>
    </row>
    <row r="67" spans="2:18" ht="15.75" customHeight="1" hidden="1">
      <c r="B67" s="20" t="s">
        <v>87</v>
      </c>
      <c r="C67" s="21"/>
      <c r="D67" s="21"/>
      <c r="E67" s="21"/>
      <c r="F67" s="21"/>
      <c r="G67" s="21"/>
      <c r="H67" s="21"/>
      <c r="I67" s="21">
        <v>6000</v>
      </c>
      <c r="J67" s="21"/>
      <c r="K67" s="21"/>
      <c r="L67" s="21"/>
      <c r="M67" s="21"/>
      <c r="N67" s="21"/>
      <c r="O67" s="17"/>
      <c r="P67" s="17" t="s">
        <v>88</v>
      </c>
      <c r="Q67" s="17"/>
      <c r="R67" s="17"/>
    </row>
    <row r="68" spans="2:18" ht="15.75" customHeight="1">
      <c r="B68" s="20" t="s">
        <v>89</v>
      </c>
      <c r="C68" s="22">
        <f aca="true" t="shared" si="12" ref="C68:N68">SUM(C64:C67)</f>
        <v>917</v>
      </c>
      <c r="D68" s="22">
        <f t="shared" si="12"/>
        <v>917</v>
      </c>
      <c r="E68" s="22">
        <f t="shared" si="12"/>
        <v>917</v>
      </c>
      <c r="F68" s="22">
        <f t="shared" si="12"/>
        <v>917</v>
      </c>
      <c r="G68" s="22">
        <f t="shared" si="12"/>
        <v>917</v>
      </c>
      <c r="H68" s="22">
        <f t="shared" si="12"/>
        <v>917</v>
      </c>
      <c r="I68" s="22">
        <f t="shared" si="12"/>
        <v>18077</v>
      </c>
      <c r="J68" s="22">
        <f t="shared" si="12"/>
        <v>917</v>
      </c>
      <c r="K68" s="22">
        <f t="shared" si="12"/>
        <v>917</v>
      </c>
      <c r="L68" s="22">
        <f t="shared" si="12"/>
        <v>917</v>
      </c>
      <c r="M68" s="22">
        <f t="shared" si="12"/>
        <v>917</v>
      </c>
      <c r="N68" s="22">
        <f t="shared" si="12"/>
        <v>917</v>
      </c>
      <c r="O68" s="22">
        <f>SUM(C68:N68)</f>
        <v>28164</v>
      </c>
      <c r="P68" s="27" t="s">
        <v>90</v>
      </c>
      <c r="Q68" s="17"/>
      <c r="R68" s="17"/>
    </row>
    <row r="69" spans="2:18" ht="15.75" customHeight="1" hidden="1">
      <c r="B69" s="19" t="s">
        <v>91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2:18" ht="15.75" customHeight="1">
      <c r="B70" s="20" t="s">
        <v>92</v>
      </c>
      <c r="C70" s="21">
        <f>'[1]FY23 Budget Consolidate'!O175/12</f>
        <v>500</v>
      </c>
      <c r="D70" s="21">
        <f aca="true" t="shared" si="13" ref="D70:N70">$C$70</f>
        <v>500</v>
      </c>
      <c r="E70" s="21">
        <f t="shared" si="13"/>
        <v>500</v>
      </c>
      <c r="F70" s="21">
        <f t="shared" si="13"/>
        <v>500</v>
      </c>
      <c r="G70" s="21">
        <f t="shared" si="13"/>
        <v>500</v>
      </c>
      <c r="H70" s="21">
        <f t="shared" si="13"/>
        <v>500</v>
      </c>
      <c r="I70" s="21">
        <f t="shared" si="13"/>
        <v>500</v>
      </c>
      <c r="J70" s="21">
        <f t="shared" si="13"/>
        <v>500</v>
      </c>
      <c r="K70" s="21">
        <f t="shared" si="13"/>
        <v>500</v>
      </c>
      <c r="L70" s="21">
        <f t="shared" si="13"/>
        <v>500</v>
      </c>
      <c r="M70" s="21">
        <f t="shared" si="13"/>
        <v>500</v>
      </c>
      <c r="N70" s="21">
        <f t="shared" si="13"/>
        <v>500</v>
      </c>
      <c r="O70" s="17"/>
      <c r="P70" s="17" t="s">
        <v>68</v>
      </c>
      <c r="Q70" s="17"/>
      <c r="R70" s="17"/>
    </row>
    <row r="71" spans="2:18" ht="15.75" customHeight="1">
      <c r="B71" s="20" t="s">
        <v>93</v>
      </c>
      <c r="C71" s="21">
        <f>'[1]FY23 Budget Consolidate'!O176/12</f>
        <v>1083.3333333333333</v>
      </c>
      <c r="D71" s="21">
        <f aca="true" t="shared" si="14" ref="D71:N71">$C$71</f>
        <v>1083.3333333333333</v>
      </c>
      <c r="E71" s="21">
        <f t="shared" si="14"/>
        <v>1083.3333333333333</v>
      </c>
      <c r="F71" s="21">
        <f t="shared" si="14"/>
        <v>1083.3333333333333</v>
      </c>
      <c r="G71" s="21">
        <f t="shared" si="14"/>
        <v>1083.3333333333333</v>
      </c>
      <c r="H71" s="21">
        <f t="shared" si="14"/>
        <v>1083.3333333333333</v>
      </c>
      <c r="I71" s="21">
        <f t="shared" si="14"/>
        <v>1083.3333333333333</v>
      </c>
      <c r="J71" s="21">
        <f t="shared" si="14"/>
        <v>1083.3333333333333</v>
      </c>
      <c r="K71" s="21">
        <f t="shared" si="14"/>
        <v>1083.3333333333333</v>
      </c>
      <c r="L71" s="21">
        <f t="shared" si="14"/>
        <v>1083.3333333333333</v>
      </c>
      <c r="M71" s="21">
        <f t="shared" si="14"/>
        <v>1083.3333333333333</v>
      </c>
      <c r="N71" s="21">
        <f t="shared" si="14"/>
        <v>1083.3333333333333</v>
      </c>
      <c r="O71" s="17"/>
      <c r="P71" s="17" t="s">
        <v>68</v>
      </c>
      <c r="Q71" s="17"/>
      <c r="R71" s="17"/>
    </row>
    <row r="72" spans="2:18" ht="15.75" customHeight="1">
      <c r="B72" s="20" t="s">
        <v>94</v>
      </c>
      <c r="C72" s="22">
        <f aca="true" t="shared" si="15" ref="C72:N72">SUM(C69:C71)</f>
        <v>1583.3333333333333</v>
      </c>
      <c r="D72" s="22">
        <f t="shared" si="15"/>
        <v>1583.3333333333333</v>
      </c>
      <c r="E72" s="22">
        <f t="shared" si="15"/>
        <v>1583.3333333333333</v>
      </c>
      <c r="F72" s="22">
        <f t="shared" si="15"/>
        <v>1583.3333333333333</v>
      </c>
      <c r="G72" s="22">
        <f t="shared" si="15"/>
        <v>1583.3333333333333</v>
      </c>
      <c r="H72" s="22">
        <f t="shared" si="15"/>
        <v>1583.3333333333333</v>
      </c>
      <c r="I72" s="22">
        <f t="shared" si="15"/>
        <v>1583.3333333333333</v>
      </c>
      <c r="J72" s="22">
        <f t="shared" si="15"/>
        <v>1583.3333333333333</v>
      </c>
      <c r="K72" s="22">
        <f t="shared" si="15"/>
        <v>1583.3333333333333</v>
      </c>
      <c r="L72" s="22">
        <f t="shared" si="15"/>
        <v>1583.3333333333333</v>
      </c>
      <c r="M72" s="22">
        <f t="shared" si="15"/>
        <v>1583.3333333333333</v>
      </c>
      <c r="N72" s="22">
        <f t="shared" si="15"/>
        <v>1583.3333333333333</v>
      </c>
      <c r="O72" s="22">
        <f>SUM(C72:N72)</f>
        <v>19000</v>
      </c>
      <c r="P72" s="17"/>
      <c r="Q72" s="17"/>
      <c r="R72" s="17"/>
    </row>
    <row r="73" spans="2:18" ht="15.75" customHeight="1" hidden="1">
      <c r="B73" s="19" t="s">
        <v>95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2:18" ht="15.75" customHeight="1" hidden="1">
      <c r="B74" s="20" t="s">
        <v>96</v>
      </c>
      <c r="C74" s="21">
        <f>'[1]FY23 Budget Consolidate'!O179/12</f>
        <v>250</v>
      </c>
      <c r="D74" s="21">
        <f aca="true" t="shared" si="16" ref="D74:N78">C74</f>
        <v>250</v>
      </c>
      <c r="E74" s="21">
        <f t="shared" si="16"/>
        <v>250</v>
      </c>
      <c r="F74" s="21">
        <f t="shared" si="16"/>
        <v>250</v>
      </c>
      <c r="G74" s="21">
        <f t="shared" si="16"/>
        <v>250</v>
      </c>
      <c r="H74" s="21">
        <f t="shared" si="16"/>
        <v>250</v>
      </c>
      <c r="I74" s="21">
        <f t="shared" si="16"/>
        <v>250</v>
      </c>
      <c r="J74" s="21">
        <f t="shared" si="16"/>
        <v>250</v>
      </c>
      <c r="K74" s="21">
        <f t="shared" si="16"/>
        <v>250</v>
      </c>
      <c r="L74" s="21">
        <f t="shared" si="16"/>
        <v>250</v>
      </c>
      <c r="M74" s="21">
        <f t="shared" si="16"/>
        <v>250</v>
      </c>
      <c r="N74" s="21">
        <f t="shared" si="16"/>
        <v>250</v>
      </c>
      <c r="O74" s="17"/>
      <c r="P74" s="17" t="s">
        <v>68</v>
      </c>
      <c r="Q74" s="17"/>
      <c r="R74" s="17"/>
    </row>
    <row r="75" spans="2:18" ht="15.75" customHeight="1" hidden="1">
      <c r="B75" s="20" t="s">
        <v>97</v>
      </c>
      <c r="C75" s="21">
        <f>'[1]FY23 Budget Consolidate'!O183/12</f>
        <v>104.16666666666667</v>
      </c>
      <c r="D75" s="21">
        <f t="shared" si="16"/>
        <v>104.16666666666667</v>
      </c>
      <c r="E75" s="21">
        <f t="shared" si="16"/>
        <v>104.16666666666667</v>
      </c>
      <c r="F75" s="21">
        <f t="shared" si="16"/>
        <v>104.16666666666667</v>
      </c>
      <c r="G75" s="21">
        <f t="shared" si="16"/>
        <v>104.16666666666667</v>
      </c>
      <c r="H75" s="21">
        <f t="shared" si="16"/>
        <v>104.16666666666667</v>
      </c>
      <c r="I75" s="21">
        <f t="shared" si="16"/>
        <v>104.16666666666667</v>
      </c>
      <c r="J75" s="21">
        <f t="shared" si="16"/>
        <v>104.16666666666667</v>
      </c>
      <c r="K75" s="21">
        <f t="shared" si="16"/>
        <v>104.16666666666667</v>
      </c>
      <c r="L75" s="21">
        <f t="shared" si="16"/>
        <v>104.16666666666667</v>
      </c>
      <c r="M75" s="21">
        <f t="shared" si="16"/>
        <v>104.16666666666667</v>
      </c>
      <c r="N75" s="21">
        <f t="shared" si="16"/>
        <v>104.16666666666667</v>
      </c>
      <c r="O75" s="17"/>
      <c r="P75" s="17" t="s">
        <v>68</v>
      </c>
      <c r="Q75" s="17"/>
      <c r="R75" s="17"/>
    </row>
    <row r="76" spans="2:18" ht="15.75" customHeight="1" hidden="1">
      <c r="B76" s="20" t="s">
        <v>98</v>
      </c>
      <c r="C76" s="21">
        <f>'[1]FY23 Budget Consolidate'!O184/12</f>
        <v>166.66666666666666</v>
      </c>
      <c r="D76" s="21">
        <f t="shared" si="16"/>
        <v>166.66666666666666</v>
      </c>
      <c r="E76" s="21">
        <f t="shared" si="16"/>
        <v>166.66666666666666</v>
      </c>
      <c r="F76" s="21">
        <f t="shared" si="16"/>
        <v>166.66666666666666</v>
      </c>
      <c r="G76" s="21">
        <f t="shared" si="16"/>
        <v>166.66666666666666</v>
      </c>
      <c r="H76" s="21">
        <f t="shared" si="16"/>
        <v>166.66666666666666</v>
      </c>
      <c r="I76" s="21">
        <f t="shared" si="16"/>
        <v>166.66666666666666</v>
      </c>
      <c r="J76" s="21">
        <f t="shared" si="16"/>
        <v>166.66666666666666</v>
      </c>
      <c r="K76" s="21">
        <f t="shared" si="16"/>
        <v>166.66666666666666</v>
      </c>
      <c r="L76" s="21">
        <f t="shared" si="16"/>
        <v>166.66666666666666</v>
      </c>
      <c r="M76" s="21">
        <f t="shared" si="16"/>
        <v>166.66666666666666</v>
      </c>
      <c r="N76" s="21">
        <f t="shared" si="16"/>
        <v>166.66666666666666</v>
      </c>
      <c r="O76" s="17"/>
      <c r="P76" s="17" t="s">
        <v>68</v>
      </c>
      <c r="Q76" s="17"/>
      <c r="R76" s="17"/>
    </row>
    <row r="77" spans="2:18" ht="15.75" customHeight="1" hidden="1">
      <c r="B77" s="20" t="s">
        <v>99</v>
      </c>
      <c r="C77" s="21">
        <f>'[1]FY23 Budget Consolidate'!O188/12</f>
        <v>250</v>
      </c>
      <c r="D77" s="21">
        <f t="shared" si="16"/>
        <v>250</v>
      </c>
      <c r="E77" s="21">
        <f t="shared" si="16"/>
        <v>250</v>
      </c>
      <c r="F77" s="21">
        <f t="shared" si="16"/>
        <v>250</v>
      </c>
      <c r="G77" s="21">
        <f t="shared" si="16"/>
        <v>250</v>
      </c>
      <c r="H77" s="21">
        <f t="shared" si="16"/>
        <v>250</v>
      </c>
      <c r="I77" s="21">
        <f t="shared" si="16"/>
        <v>250</v>
      </c>
      <c r="J77" s="21">
        <f t="shared" si="16"/>
        <v>250</v>
      </c>
      <c r="K77" s="21">
        <f t="shared" si="16"/>
        <v>250</v>
      </c>
      <c r="L77" s="21">
        <f t="shared" si="16"/>
        <v>250</v>
      </c>
      <c r="M77" s="21">
        <f t="shared" si="16"/>
        <v>250</v>
      </c>
      <c r="N77" s="21">
        <f t="shared" si="16"/>
        <v>250</v>
      </c>
      <c r="O77" s="17"/>
      <c r="P77" s="17" t="s">
        <v>68</v>
      </c>
      <c r="Q77" s="17"/>
      <c r="R77" s="17"/>
    </row>
    <row r="78" spans="2:18" ht="15.75" customHeight="1" hidden="1">
      <c r="B78" s="20" t="s">
        <v>100</v>
      </c>
      <c r="C78" s="21">
        <f>'[1]FY23 Budget Consolidate'!O189/12</f>
        <v>341.6666666666667</v>
      </c>
      <c r="D78" s="21">
        <f t="shared" si="16"/>
        <v>341.6666666666667</v>
      </c>
      <c r="E78" s="21">
        <f t="shared" si="16"/>
        <v>341.6666666666667</v>
      </c>
      <c r="F78" s="21">
        <f t="shared" si="16"/>
        <v>341.6666666666667</v>
      </c>
      <c r="G78" s="21">
        <f t="shared" si="16"/>
        <v>341.6666666666667</v>
      </c>
      <c r="H78" s="21">
        <f t="shared" si="16"/>
        <v>341.6666666666667</v>
      </c>
      <c r="I78" s="21">
        <f t="shared" si="16"/>
        <v>341.6666666666667</v>
      </c>
      <c r="J78" s="21">
        <f t="shared" si="16"/>
        <v>341.6666666666667</v>
      </c>
      <c r="K78" s="21">
        <f t="shared" si="16"/>
        <v>341.6666666666667</v>
      </c>
      <c r="L78" s="21">
        <f t="shared" si="16"/>
        <v>341.6666666666667</v>
      </c>
      <c r="M78" s="21">
        <f t="shared" si="16"/>
        <v>341.6666666666667</v>
      </c>
      <c r="N78" s="21">
        <f t="shared" si="16"/>
        <v>341.6666666666667</v>
      </c>
      <c r="O78" s="17"/>
      <c r="P78" s="17" t="s">
        <v>68</v>
      </c>
      <c r="R78" s="17"/>
    </row>
    <row r="79" spans="2:18" ht="15.75" customHeight="1">
      <c r="B79" s="20" t="s">
        <v>101</v>
      </c>
      <c r="C79" s="22">
        <f aca="true" t="shared" si="17" ref="C79:N79">SUM(C73:C78)</f>
        <v>1112.5</v>
      </c>
      <c r="D79" s="22">
        <f t="shared" si="17"/>
        <v>1112.5</v>
      </c>
      <c r="E79" s="22">
        <f t="shared" si="17"/>
        <v>1112.5</v>
      </c>
      <c r="F79" s="22">
        <f t="shared" si="17"/>
        <v>1112.5</v>
      </c>
      <c r="G79" s="22">
        <f t="shared" si="17"/>
        <v>1112.5</v>
      </c>
      <c r="H79" s="22">
        <f t="shared" si="17"/>
        <v>1112.5</v>
      </c>
      <c r="I79" s="22">
        <f t="shared" si="17"/>
        <v>1112.5</v>
      </c>
      <c r="J79" s="22">
        <f t="shared" si="17"/>
        <v>1112.5</v>
      </c>
      <c r="K79" s="22">
        <f t="shared" si="17"/>
        <v>1112.5</v>
      </c>
      <c r="L79" s="22">
        <f t="shared" si="17"/>
        <v>1112.5</v>
      </c>
      <c r="M79" s="22">
        <f t="shared" si="17"/>
        <v>1112.5</v>
      </c>
      <c r="N79" s="22">
        <f t="shared" si="17"/>
        <v>1112.5</v>
      </c>
      <c r="O79" s="22">
        <f>SUM(C79:N79)</f>
        <v>13350</v>
      </c>
      <c r="P79" s="27" t="s">
        <v>102</v>
      </c>
      <c r="Q79" s="17"/>
      <c r="R79" s="17"/>
    </row>
    <row r="80" spans="2:18" ht="15.75" customHeight="1" hidden="1">
      <c r="B80" s="19" t="s">
        <v>103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2:18" ht="15.75" customHeight="1">
      <c r="B81" s="20" t="s">
        <v>104</v>
      </c>
      <c r="C81" s="21">
        <f>'[1]FY23 Budget Consolidate'!Q201/12</f>
        <v>1250</v>
      </c>
      <c r="D81" s="21">
        <f aca="true" t="shared" si="18" ref="D81:N82">C81</f>
        <v>1250</v>
      </c>
      <c r="E81" s="21">
        <f t="shared" si="18"/>
        <v>1250</v>
      </c>
      <c r="F81" s="21">
        <f t="shared" si="18"/>
        <v>1250</v>
      </c>
      <c r="G81" s="21">
        <f t="shared" si="18"/>
        <v>1250</v>
      </c>
      <c r="H81" s="21">
        <f t="shared" si="18"/>
        <v>1250</v>
      </c>
      <c r="I81" s="21">
        <f t="shared" si="18"/>
        <v>1250</v>
      </c>
      <c r="J81" s="21">
        <f t="shared" si="18"/>
        <v>1250</v>
      </c>
      <c r="K81" s="21">
        <f t="shared" si="18"/>
        <v>1250</v>
      </c>
      <c r="L81" s="21">
        <f t="shared" si="18"/>
        <v>1250</v>
      </c>
      <c r="M81" s="21">
        <f t="shared" si="18"/>
        <v>1250</v>
      </c>
      <c r="N81" s="21">
        <f t="shared" si="18"/>
        <v>1250</v>
      </c>
      <c r="O81" s="17"/>
      <c r="P81" s="17" t="s">
        <v>68</v>
      </c>
      <c r="Q81" s="17"/>
      <c r="R81" s="17"/>
    </row>
    <row r="82" spans="2:18" ht="15.75" customHeight="1">
      <c r="B82" s="20" t="s">
        <v>105</v>
      </c>
      <c r="C82" s="21">
        <f>'[1]FY23 Budget Consolidate'!O202/12</f>
        <v>183.33333333333334</v>
      </c>
      <c r="D82" s="21">
        <f t="shared" si="18"/>
        <v>183.33333333333334</v>
      </c>
      <c r="E82" s="21">
        <f t="shared" si="18"/>
        <v>183.33333333333334</v>
      </c>
      <c r="F82" s="21">
        <f t="shared" si="18"/>
        <v>183.33333333333334</v>
      </c>
      <c r="G82" s="21">
        <f t="shared" si="18"/>
        <v>183.33333333333334</v>
      </c>
      <c r="H82" s="21">
        <f t="shared" si="18"/>
        <v>183.33333333333334</v>
      </c>
      <c r="I82" s="21">
        <f t="shared" si="18"/>
        <v>183.33333333333334</v>
      </c>
      <c r="J82" s="21">
        <f t="shared" si="18"/>
        <v>183.33333333333334</v>
      </c>
      <c r="K82" s="21">
        <f t="shared" si="18"/>
        <v>183.33333333333334</v>
      </c>
      <c r="L82" s="21">
        <f t="shared" si="18"/>
        <v>183.33333333333334</v>
      </c>
      <c r="M82" s="21">
        <f t="shared" si="18"/>
        <v>183.33333333333334</v>
      </c>
      <c r="N82" s="21">
        <f t="shared" si="18"/>
        <v>183.33333333333334</v>
      </c>
      <c r="O82" s="17"/>
      <c r="P82" s="17" t="s">
        <v>68</v>
      </c>
      <c r="Q82" s="17"/>
      <c r="R82" s="17"/>
    </row>
    <row r="83" spans="2:18" ht="15.75" customHeight="1">
      <c r="B83" s="20" t="s">
        <v>106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17"/>
      <c r="P83" s="17" t="s">
        <v>68</v>
      </c>
      <c r="Q83" s="17"/>
      <c r="R83" s="17"/>
    </row>
    <row r="84" spans="2:18" ht="15.75" customHeight="1">
      <c r="B84" s="20" t="s">
        <v>107</v>
      </c>
      <c r="C84" s="21">
        <f>'[1]FY23 Budget Consolidate'!O205/12</f>
        <v>83.33333333333333</v>
      </c>
      <c r="D84" s="21">
        <f aca="true" t="shared" si="19" ref="D84:N86">C84</f>
        <v>83.33333333333333</v>
      </c>
      <c r="E84" s="21">
        <f t="shared" si="19"/>
        <v>83.33333333333333</v>
      </c>
      <c r="F84" s="21">
        <f t="shared" si="19"/>
        <v>83.33333333333333</v>
      </c>
      <c r="G84" s="21">
        <f t="shared" si="19"/>
        <v>83.33333333333333</v>
      </c>
      <c r="H84" s="21">
        <f t="shared" si="19"/>
        <v>83.33333333333333</v>
      </c>
      <c r="I84" s="21">
        <f t="shared" si="19"/>
        <v>83.33333333333333</v>
      </c>
      <c r="J84" s="21">
        <f t="shared" si="19"/>
        <v>83.33333333333333</v>
      </c>
      <c r="K84" s="21">
        <f t="shared" si="19"/>
        <v>83.33333333333333</v>
      </c>
      <c r="L84" s="21">
        <f t="shared" si="19"/>
        <v>83.33333333333333</v>
      </c>
      <c r="M84" s="21">
        <f t="shared" si="19"/>
        <v>83.33333333333333</v>
      </c>
      <c r="N84" s="21">
        <f t="shared" si="19"/>
        <v>83.33333333333333</v>
      </c>
      <c r="O84" s="17"/>
      <c r="P84" s="17" t="s">
        <v>68</v>
      </c>
      <c r="Q84" s="17"/>
      <c r="R84" s="17"/>
    </row>
    <row r="85" spans="2:18" ht="15.75" customHeight="1">
      <c r="B85" s="20" t="s">
        <v>108</v>
      </c>
      <c r="C85" s="21">
        <f>'[1]FY23 Budget Consolidate'!O207/12</f>
        <v>83.33333333333333</v>
      </c>
      <c r="D85" s="21">
        <f t="shared" si="19"/>
        <v>83.33333333333333</v>
      </c>
      <c r="E85" s="21">
        <f t="shared" si="19"/>
        <v>83.33333333333333</v>
      </c>
      <c r="F85" s="21">
        <f t="shared" si="19"/>
        <v>83.33333333333333</v>
      </c>
      <c r="G85" s="21">
        <f t="shared" si="19"/>
        <v>83.33333333333333</v>
      </c>
      <c r="H85" s="21">
        <f t="shared" si="19"/>
        <v>83.33333333333333</v>
      </c>
      <c r="I85" s="21">
        <f t="shared" si="19"/>
        <v>83.33333333333333</v>
      </c>
      <c r="J85" s="21">
        <f t="shared" si="19"/>
        <v>83.33333333333333</v>
      </c>
      <c r="K85" s="21">
        <f t="shared" si="19"/>
        <v>83.33333333333333</v>
      </c>
      <c r="L85" s="21">
        <f t="shared" si="19"/>
        <v>83.33333333333333</v>
      </c>
      <c r="M85" s="21">
        <f t="shared" si="19"/>
        <v>83.33333333333333</v>
      </c>
      <c r="N85" s="21">
        <f t="shared" si="19"/>
        <v>83.33333333333333</v>
      </c>
      <c r="O85" s="17"/>
      <c r="P85" s="17" t="s">
        <v>68</v>
      </c>
      <c r="Q85" s="17"/>
      <c r="R85" s="17"/>
    </row>
    <row r="86" spans="2:18" ht="15.75" customHeight="1">
      <c r="B86" s="20" t="s">
        <v>109</v>
      </c>
      <c r="C86" s="21">
        <f>'[1]FY23 Budget Consolidate'!O208/12</f>
        <v>583.3333333333334</v>
      </c>
      <c r="D86" s="21">
        <f t="shared" si="19"/>
        <v>583.3333333333334</v>
      </c>
      <c r="E86" s="21">
        <f t="shared" si="19"/>
        <v>583.3333333333334</v>
      </c>
      <c r="F86" s="21">
        <f t="shared" si="19"/>
        <v>583.3333333333334</v>
      </c>
      <c r="G86" s="21">
        <f t="shared" si="19"/>
        <v>583.3333333333334</v>
      </c>
      <c r="H86" s="21">
        <f t="shared" si="19"/>
        <v>583.3333333333334</v>
      </c>
      <c r="I86" s="21">
        <f t="shared" si="19"/>
        <v>583.3333333333334</v>
      </c>
      <c r="J86" s="21">
        <f t="shared" si="19"/>
        <v>583.3333333333334</v>
      </c>
      <c r="K86" s="21">
        <f t="shared" si="19"/>
        <v>583.3333333333334</v>
      </c>
      <c r="L86" s="21">
        <f t="shared" si="19"/>
        <v>583.3333333333334</v>
      </c>
      <c r="M86" s="21">
        <f t="shared" si="19"/>
        <v>583.3333333333334</v>
      </c>
      <c r="N86" s="21">
        <f t="shared" si="19"/>
        <v>583.3333333333334</v>
      </c>
      <c r="O86" s="17"/>
      <c r="P86" s="17" t="s">
        <v>68</v>
      </c>
      <c r="Q86" s="17"/>
      <c r="R86" s="17"/>
    </row>
    <row r="87" spans="2:18" ht="15.75" customHeight="1" hidden="1">
      <c r="B87" s="20" t="s">
        <v>110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17"/>
      <c r="P87" s="17" t="s">
        <v>68</v>
      </c>
      <c r="Q87" s="17"/>
      <c r="R87" s="17"/>
    </row>
    <row r="88" spans="2:18" ht="15.75" customHeight="1">
      <c r="B88" s="20" t="s">
        <v>111</v>
      </c>
      <c r="C88" s="21">
        <f>'[1]FY23 Budget Consolidate'!O211/4</f>
        <v>2000</v>
      </c>
      <c r="D88" s="21"/>
      <c r="E88" s="21"/>
      <c r="F88" s="21">
        <f>C88</f>
        <v>2000</v>
      </c>
      <c r="G88" s="21"/>
      <c r="H88" s="21"/>
      <c r="I88" s="21">
        <f>F88</f>
        <v>2000</v>
      </c>
      <c r="J88" s="21"/>
      <c r="K88" s="21"/>
      <c r="L88" s="21">
        <f>C88</f>
        <v>2000</v>
      </c>
      <c r="M88" s="21"/>
      <c r="N88" s="21"/>
      <c r="O88" s="17"/>
      <c r="P88" s="17" t="s">
        <v>68</v>
      </c>
      <c r="Q88" s="17"/>
      <c r="R88" s="17"/>
    </row>
    <row r="89" spans="2:18" ht="15.75" customHeight="1">
      <c r="B89" s="28" t="s">
        <v>112</v>
      </c>
      <c r="C89" s="21">
        <v>9500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17"/>
      <c r="P89" s="27" t="s">
        <v>113</v>
      </c>
      <c r="Q89" s="17"/>
      <c r="R89" s="17"/>
    </row>
    <row r="90" spans="2:18" ht="15.75" customHeight="1">
      <c r="B90" s="20" t="s">
        <v>114</v>
      </c>
      <c r="C90" s="22">
        <f aca="true" t="shared" si="20" ref="C90:N90">SUM(C80:C89)</f>
        <v>13683.333333333332</v>
      </c>
      <c r="D90" s="22">
        <f t="shared" si="20"/>
        <v>2183.333333333333</v>
      </c>
      <c r="E90" s="22">
        <f t="shared" si="20"/>
        <v>2183.333333333333</v>
      </c>
      <c r="F90" s="22">
        <f t="shared" si="20"/>
        <v>4183.333333333333</v>
      </c>
      <c r="G90" s="22">
        <f t="shared" si="20"/>
        <v>2183.333333333333</v>
      </c>
      <c r="H90" s="22">
        <f t="shared" si="20"/>
        <v>2183.333333333333</v>
      </c>
      <c r="I90" s="22">
        <f t="shared" si="20"/>
        <v>4183.333333333333</v>
      </c>
      <c r="J90" s="22">
        <f t="shared" si="20"/>
        <v>2183.333333333333</v>
      </c>
      <c r="K90" s="22">
        <f t="shared" si="20"/>
        <v>2183.333333333333</v>
      </c>
      <c r="L90" s="22">
        <f t="shared" si="20"/>
        <v>4183.333333333333</v>
      </c>
      <c r="M90" s="22">
        <f t="shared" si="20"/>
        <v>2183.333333333333</v>
      </c>
      <c r="N90" s="22">
        <f t="shared" si="20"/>
        <v>2183.333333333333</v>
      </c>
      <c r="O90" s="22">
        <f>SUM(C90:N90)</f>
        <v>43700</v>
      </c>
      <c r="P90" s="17"/>
      <c r="Q90" s="17"/>
      <c r="R90" s="17"/>
    </row>
    <row r="91" spans="2:18" ht="15.75" customHeight="1" hidden="1">
      <c r="B91" s="19" t="s">
        <v>37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2:18" ht="15.75" customHeight="1">
      <c r="B92" s="20" t="s">
        <v>115</v>
      </c>
      <c r="C92" s="21">
        <f>'[1]FY23 Budget Consolidate'!$O$218*'[1]Last fiscal year P&amp;L by month'!H115</f>
        <v>0</v>
      </c>
      <c r="D92" s="21">
        <f>'[1]FY23 Budget Consolidate'!$O$218*'[1]Last fiscal year P&amp;L by month'!I115</f>
        <v>3312.388956540835</v>
      </c>
      <c r="E92" s="21">
        <f>'[1]FY23 Budget Consolidate'!$O$218*'[1]Last fiscal year P&amp;L by month'!J115</f>
        <v>374.32375781047256</v>
      </c>
      <c r="F92" s="21">
        <f>'[1]FY23 Budget Consolidate'!$O$218*'[1]Last fiscal year P&amp;L by month'!K115</f>
        <v>0</v>
      </c>
      <c r="G92" s="21">
        <f>'[1]FY23 Budget Consolidate'!$O$218*'[1]Last fiscal year P&amp;L by month'!L115</f>
        <v>3079.3923302657063</v>
      </c>
      <c r="H92" s="21">
        <f>'[1]FY23 Budget Consolidate'!$O$218*'[1]Last fiscal year P&amp;L by month'!M115</f>
        <v>0</v>
      </c>
      <c r="I92" s="21">
        <f>'[1]FY23 Budget Consolidate'!$O$218*'[1]Last fiscal year P&amp;L by month'!B115</f>
        <v>0</v>
      </c>
      <c r="J92" s="21">
        <f>'[1]FY23 Budget Consolidate'!$O$218*'[1]Last fiscal year P&amp;L by month'!C115</f>
        <v>0</v>
      </c>
      <c r="K92" s="21">
        <f>'[1]FY23 Budget Consolidate'!$O$218*'[1]Last fiscal year P&amp;L by month'!D115</f>
        <v>0</v>
      </c>
      <c r="L92" s="21">
        <f>'[1]FY23 Budget Consolidate'!$O$218*'[1]Last fiscal year P&amp;L by month'!E115</f>
        <v>3233.8949553829884</v>
      </c>
      <c r="M92" s="21">
        <f>'[1]FY23 Budget Consolidate'!$O$218*'[1]Last fiscal year P&amp;L by month'!F115</f>
        <v>0</v>
      </c>
      <c r="N92" s="21">
        <f>'[1]FY23 Budget Consolidate'!$O$218*'[1]Last fiscal year P&amp;L by month'!G115</f>
        <v>0</v>
      </c>
      <c r="O92" s="17"/>
      <c r="P92" s="17" t="s">
        <v>28</v>
      </c>
      <c r="Q92" s="17"/>
      <c r="R92" s="17"/>
    </row>
    <row r="93" spans="2:18" ht="15.75" customHeight="1">
      <c r="B93" s="20" t="s">
        <v>116</v>
      </c>
      <c r="C93" s="21">
        <f>'[1]FY23 Budget Consolidate'!O220/12</f>
        <v>1000</v>
      </c>
      <c r="D93" s="21">
        <f aca="true" t="shared" si="21" ref="D93:N93">C93</f>
        <v>1000</v>
      </c>
      <c r="E93" s="21">
        <f t="shared" si="21"/>
        <v>1000</v>
      </c>
      <c r="F93" s="21">
        <f t="shared" si="21"/>
        <v>1000</v>
      </c>
      <c r="G93" s="21">
        <f t="shared" si="21"/>
        <v>1000</v>
      </c>
      <c r="H93" s="21">
        <f t="shared" si="21"/>
        <v>1000</v>
      </c>
      <c r="I93" s="21">
        <f t="shared" si="21"/>
        <v>1000</v>
      </c>
      <c r="J93" s="21">
        <f t="shared" si="21"/>
        <v>1000</v>
      </c>
      <c r="K93" s="21">
        <f t="shared" si="21"/>
        <v>1000</v>
      </c>
      <c r="L93" s="21">
        <f t="shared" si="21"/>
        <v>1000</v>
      </c>
      <c r="M93" s="21">
        <f t="shared" si="21"/>
        <v>1000</v>
      </c>
      <c r="N93" s="21">
        <f t="shared" si="21"/>
        <v>1000</v>
      </c>
      <c r="O93" s="17"/>
      <c r="P93" s="27" t="s">
        <v>117</v>
      </c>
      <c r="Q93" s="17"/>
      <c r="R93" s="17"/>
    </row>
    <row r="94" spans="2:18" ht="15.75" customHeight="1">
      <c r="B94" s="20" t="s">
        <v>118</v>
      </c>
      <c r="C94" s="21">
        <f>'[1]FY23 Budget Consolidate'!$O$226*'[1]Last fiscal year P&amp;L by month'!H118</f>
        <v>3167.1067586898366</v>
      </c>
      <c r="D94" s="21">
        <f>'[1]FY23 Budget Consolidate'!$O$226*'[1]Last fiscal year P&amp;L by month'!I118</f>
        <v>5533.698372019656</v>
      </c>
      <c r="E94" s="21">
        <f>'[1]FY23 Budget Consolidate'!$O$226*'[1]Last fiscal year P&amp;L by month'!J118</f>
        <v>1908.457978054462</v>
      </c>
      <c r="F94" s="21">
        <f>'[1]FY23 Budget Consolidate'!$O$226*'[1]Last fiscal year P&amp;L by month'!K118</f>
        <v>2322.302941773881</v>
      </c>
      <c r="G94" s="21">
        <f>'[1]FY23 Budget Consolidate'!$O$226*'[1]Last fiscal year P&amp;L by month'!L118</f>
        <v>1267.983629441076</v>
      </c>
      <c r="H94" s="21">
        <f>'[1]FY23 Budget Consolidate'!$O$226*'[1]Last fiscal year P&amp;L by month'!M118</f>
        <v>7261.993768124084</v>
      </c>
      <c r="I94" s="21">
        <f>'[1]FY23 Budget Consolidate'!$O$226*'[1]Last fiscal year P&amp;L by month'!B118</f>
        <v>5579.542851709876</v>
      </c>
      <c r="J94" s="21">
        <f>'[1]FY23 Budget Consolidate'!$O$226*'[1]Last fiscal year P&amp;L by month'!C118</f>
        <v>891.9966636558898</v>
      </c>
      <c r="K94" s="21">
        <f>'[1]FY23 Budget Consolidate'!$O$226*'[1]Last fiscal year P&amp;L by month'!D118</f>
        <v>1422.0086347351453</v>
      </c>
      <c r="L94" s="21">
        <f>'[1]FY23 Budget Consolidate'!$O$226*'[1]Last fiscal year P&amp;L by month'!E118</f>
        <v>3420.703484578052</v>
      </c>
      <c r="M94" s="21">
        <f>'[1]FY23 Budget Consolidate'!$O$226*'[1]Last fiscal year P&amp;L by month'!F118</f>
        <v>331.9057353138195</v>
      </c>
      <c r="N94" s="21">
        <f>'[1]FY23 Budget Consolidate'!$O$226*'[1]Last fiscal year P&amp;L by month'!G118</f>
        <v>14892.299181904224</v>
      </c>
      <c r="O94" s="17"/>
      <c r="P94" s="17" t="s">
        <v>28</v>
      </c>
      <c r="Q94" s="17"/>
      <c r="R94" s="17"/>
    </row>
    <row r="95" spans="2:18" ht="15.75" customHeight="1">
      <c r="B95" s="20" t="s">
        <v>119</v>
      </c>
      <c r="C95" s="21"/>
      <c r="D95" s="21"/>
      <c r="E95" s="21"/>
      <c r="F95" s="21"/>
      <c r="G95" s="21"/>
      <c r="H95" s="21"/>
      <c r="I95" s="21"/>
      <c r="J95" s="21"/>
      <c r="K95" s="21">
        <v>5000</v>
      </c>
      <c r="L95" s="21"/>
      <c r="M95" s="21">
        <v>2000</v>
      </c>
      <c r="N95" s="21"/>
      <c r="O95" s="17"/>
      <c r="P95" s="27" t="s">
        <v>120</v>
      </c>
      <c r="Q95" s="17"/>
      <c r="R95" s="17"/>
    </row>
    <row r="96" spans="2:18" ht="15.75" customHeight="1">
      <c r="B96" s="20" t="s">
        <v>121</v>
      </c>
      <c r="C96" s="22">
        <f aca="true" t="shared" si="22" ref="C96:N96">SUM(C91:C95)</f>
        <v>4167.106758689837</v>
      </c>
      <c r="D96" s="22">
        <f t="shared" si="22"/>
        <v>9846.08732856049</v>
      </c>
      <c r="E96" s="22">
        <f t="shared" si="22"/>
        <v>3282.7817358649345</v>
      </c>
      <c r="F96" s="22">
        <f t="shared" si="22"/>
        <v>3322.302941773881</v>
      </c>
      <c r="G96" s="22">
        <f t="shared" si="22"/>
        <v>5347.375959706782</v>
      </c>
      <c r="H96" s="22">
        <f t="shared" si="22"/>
        <v>8261.993768124084</v>
      </c>
      <c r="I96" s="22">
        <f t="shared" si="22"/>
        <v>6579.542851709876</v>
      </c>
      <c r="J96" s="22">
        <f t="shared" si="22"/>
        <v>1891.9966636558897</v>
      </c>
      <c r="K96" s="22">
        <f t="shared" si="22"/>
        <v>7422.008634735145</v>
      </c>
      <c r="L96" s="22">
        <f t="shared" si="22"/>
        <v>7654.598439961041</v>
      </c>
      <c r="M96" s="22">
        <f t="shared" si="22"/>
        <v>3331.9057353138196</v>
      </c>
      <c r="N96" s="22">
        <f t="shared" si="22"/>
        <v>15892.299181904224</v>
      </c>
      <c r="O96" s="22">
        <f>SUM(C96:N96)</f>
        <v>77000</v>
      </c>
      <c r="P96" s="17"/>
      <c r="Q96" s="17"/>
      <c r="R96" s="17"/>
    </row>
    <row r="97" spans="2:18" ht="15.75" customHeight="1" hidden="1">
      <c r="B97" s="19" t="s">
        <v>122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</row>
    <row r="98" spans="2:18" ht="15.75" customHeight="1">
      <c r="B98" s="20" t="s">
        <v>123</v>
      </c>
      <c r="C98" s="21">
        <f>'[1]FY23 Budget Consolidate'!O233/12</f>
        <v>650</v>
      </c>
      <c r="D98" s="21">
        <f aca="true" t="shared" si="23" ref="D98:N98">C98</f>
        <v>650</v>
      </c>
      <c r="E98" s="21">
        <f t="shared" si="23"/>
        <v>650</v>
      </c>
      <c r="F98" s="21">
        <f t="shared" si="23"/>
        <v>650</v>
      </c>
      <c r="G98" s="21">
        <f t="shared" si="23"/>
        <v>650</v>
      </c>
      <c r="H98" s="21">
        <f t="shared" si="23"/>
        <v>650</v>
      </c>
      <c r="I98" s="21">
        <f t="shared" si="23"/>
        <v>650</v>
      </c>
      <c r="J98" s="21">
        <f t="shared" si="23"/>
        <v>650</v>
      </c>
      <c r="K98" s="21">
        <f t="shared" si="23"/>
        <v>650</v>
      </c>
      <c r="L98" s="21">
        <f t="shared" si="23"/>
        <v>650</v>
      </c>
      <c r="M98" s="21">
        <f t="shared" si="23"/>
        <v>650</v>
      </c>
      <c r="N98" s="21">
        <f t="shared" si="23"/>
        <v>650</v>
      </c>
      <c r="O98" s="17"/>
      <c r="P98" s="17" t="s">
        <v>68</v>
      </c>
      <c r="Q98" s="17"/>
      <c r="R98" s="17"/>
    </row>
    <row r="99" spans="2:18" ht="15.75" customHeight="1">
      <c r="B99" s="20" t="s">
        <v>124</v>
      </c>
      <c r="C99" s="21"/>
      <c r="D99" s="21"/>
      <c r="E99" s="21">
        <f>'[1]FY23 Budget Consolidate'!O235/2</f>
        <v>50750</v>
      </c>
      <c r="F99" s="21">
        <f>E99</f>
        <v>50750</v>
      </c>
      <c r="G99" s="21"/>
      <c r="H99" s="21"/>
      <c r="I99" s="21"/>
      <c r="J99" s="21"/>
      <c r="K99" s="21"/>
      <c r="L99" s="21"/>
      <c r="M99" s="21"/>
      <c r="N99" s="21"/>
      <c r="O99" s="17"/>
      <c r="P99" s="17" t="s">
        <v>62</v>
      </c>
      <c r="Q99" s="17"/>
      <c r="R99" s="17"/>
    </row>
    <row r="100" spans="2:18" ht="15.75" customHeight="1">
      <c r="B100" s="20" t="s">
        <v>125</v>
      </c>
      <c r="C100" s="21">
        <f>'[1]FY23 Budget Consolidate'!O237/12</f>
        <v>366.6666666666667</v>
      </c>
      <c r="D100" s="21">
        <f aca="true" t="shared" si="24" ref="D100:J100">C100</f>
        <v>366.6666666666667</v>
      </c>
      <c r="E100" s="21">
        <f t="shared" si="24"/>
        <v>366.6666666666667</v>
      </c>
      <c r="F100" s="21">
        <f t="shared" si="24"/>
        <v>366.6666666666667</v>
      </c>
      <c r="G100" s="21">
        <f t="shared" si="24"/>
        <v>366.6666666666667</v>
      </c>
      <c r="H100" s="21">
        <f t="shared" si="24"/>
        <v>366.6666666666667</v>
      </c>
      <c r="I100" s="21">
        <f t="shared" si="24"/>
        <v>366.6666666666667</v>
      </c>
      <c r="J100" s="21">
        <f t="shared" si="24"/>
        <v>366.6666666666667</v>
      </c>
      <c r="K100" s="21">
        <f>J100+375</f>
        <v>741.6666666666667</v>
      </c>
      <c r="L100" s="21">
        <f>C100</f>
        <v>366.6666666666667</v>
      </c>
      <c r="M100" s="21">
        <f>L100</f>
        <v>366.6666666666667</v>
      </c>
      <c r="N100" s="21">
        <f>M100+375</f>
        <v>741.6666666666667</v>
      </c>
      <c r="O100" s="17"/>
      <c r="P100" s="17" t="s">
        <v>126</v>
      </c>
      <c r="Q100" s="17"/>
      <c r="R100" s="17"/>
    </row>
    <row r="101" spans="2:18" ht="15.75" customHeight="1">
      <c r="B101" s="20" t="s">
        <v>127</v>
      </c>
      <c r="C101" s="22">
        <f aca="true" t="shared" si="25" ref="C101:N101">SUM(C97:C100)</f>
        <v>1016.6666666666667</v>
      </c>
      <c r="D101" s="22">
        <f t="shared" si="25"/>
        <v>1016.6666666666667</v>
      </c>
      <c r="E101" s="22">
        <f t="shared" si="25"/>
        <v>51766.666666666664</v>
      </c>
      <c r="F101" s="22">
        <f t="shared" si="25"/>
        <v>51766.666666666664</v>
      </c>
      <c r="G101" s="22">
        <f t="shared" si="25"/>
        <v>1016.6666666666667</v>
      </c>
      <c r="H101" s="22">
        <f t="shared" si="25"/>
        <v>1016.6666666666667</v>
      </c>
      <c r="I101" s="22">
        <f t="shared" si="25"/>
        <v>1016.6666666666667</v>
      </c>
      <c r="J101" s="22">
        <f t="shared" si="25"/>
        <v>1016.6666666666667</v>
      </c>
      <c r="K101" s="22">
        <f t="shared" si="25"/>
        <v>1391.6666666666667</v>
      </c>
      <c r="L101" s="22">
        <f t="shared" si="25"/>
        <v>1016.6666666666667</v>
      </c>
      <c r="M101" s="22">
        <f t="shared" si="25"/>
        <v>1016.6666666666667</v>
      </c>
      <c r="N101" s="22">
        <f t="shared" si="25"/>
        <v>1391.6666666666667</v>
      </c>
      <c r="O101" s="22">
        <f>SUM(C101:N101)</f>
        <v>114450.00000000003</v>
      </c>
      <c r="P101" s="17"/>
      <c r="Q101" s="17"/>
      <c r="R101" s="17"/>
    </row>
    <row r="102" spans="3:18" ht="15.75" customHeight="1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ht="15.75" customHeight="1">
      <c r="A103" s="25" t="s">
        <v>128</v>
      </c>
      <c r="B103" s="25"/>
      <c r="C103" s="26">
        <f aca="true" t="shared" si="26" ref="C103:N103">C47+C51+C57+C63+C68+C72+C79+C90+C96+C101</f>
        <v>99510.42562702317</v>
      </c>
      <c r="D103" s="26">
        <f t="shared" si="26"/>
        <v>93689.40619689382</v>
      </c>
      <c r="E103" s="26">
        <f t="shared" si="26"/>
        <v>137921.38199982326</v>
      </c>
      <c r="F103" s="26">
        <f t="shared" si="26"/>
        <v>139915.6218101072</v>
      </c>
      <c r="G103" s="26">
        <f t="shared" si="26"/>
        <v>89190.69482804011</v>
      </c>
      <c r="H103" s="26">
        <f t="shared" si="26"/>
        <v>86802.33679958241</v>
      </c>
      <c r="I103" s="26">
        <f t="shared" si="26"/>
        <v>109582.8617200432</v>
      </c>
      <c r="J103" s="26">
        <f t="shared" si="26"/>
        <v>85735.31553198922</v>
      </c>
      <c r="K103" s="26">
        <f t="shared" si="26"/>
        <v>91685.60889869348</v>
      </c>
      <c r="L103" s="26">
        <f t="shared" si="26"/>
        <v>115997.91730829437</v>
      </c>
      <c r="M103" s="26">
        <f t="shared" si="26"/>
        <v>87175.22460364715</v>
      </c>
      <c r="N103" s="26">
        <f t="shared" si="26"/>
        <v>94807.64221336255</v>
      </c>
      <c r="O103" s="26">
        <f>SUM(O47:O101)</f>
        <v>1232014.4375375002</v>
      </c>
      <c r="P103" s="17"/>
      <c r="Q103" s="17"/>
      <c r="R103" s="17"/>
    </row>
    <row r="104" spans="3:18" ht="15.75" customHeight="1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2:18" ht="15.75" customHeight="1">
      <c r="B105" s="29" t="s">
        <v>129</v>
      </c>
      <c r="C105" s="30">
        <f aca="true" t="shared" si="27" ref="C105:N105">C41-C103</f>
        <v>-75705.42476837352</v>
      </c>
      <c r="D105" s="30">
        <f t="shared" si="27"/>
        <v>-86043.2247347328</v>
      </c>
      <c r="E105" s="30">
        <f t="shared" si="27"/>
        <v>-111310.95817073243</v>
      </c>
      <c r="F105" s="30">
        <f t="shared" si="27"/>
        <v>12693.268916152505</v>
      </c>
      <c r="G105" s="30">
        <f t="shared" si="27"/>
        <v>-77641.67465793718</v>
      </c>
      <c r="H105" s="30">
        <f t="shared" si="27"/>
        <v>-49529.70713569763</v>
      </c>
      <c r="I105" s="30">
        <f t="shared" si="27"/>
        <v>-80571.25122535089</v>
      </c>
      <c r="J105" s="30">
        <f t="shared" si="27"/>
        <v>-68525.10983819177</v>
      </c>
      <c r="K105" s="30">
        <f t="shared" si="27"/>
        <v>-42871.26167652558</v>
      </c>
      <c r="L105" s="30">
        <f t="shared" si="27"/>
        <v>292776.7711549869</v>
      </c>
      <c r="M105" s="30">
        <f t="shared" si="27"/>
        <v>-60736.86584535563</v>
      </c>
      <c r="N105" s="30">
        <f t="shared" si="27"/>
        <v>31385.060444258022</v>
      </c>
      <c r="O105" s="30"/>
      <c r="P105" s="17"/>
      <c r="Q105" s="17"/>
      <c r="R105" s="17"/>
    </row>
    <row r="106" spans="3:18" ht="15.75" customHeight="1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3:18" ht="15.75" customHeight="1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2:18" ht="15.75" customHeight="1">
      <c r="B108" s="19" t="s">
        <v>130</v>
      </c>
      <c r="C108" s="17">
        <f>F6</f>
        <v>851028.3600000001</v>
      </c>
      <c r="D108" s="17">
        <f aca="true" t="shared" si="28" ref="D108:N108">C111</f>
        <v>775322.9352316266</v>
      </c>
      <c r="E108" s="17">
        <f t="shared" si="28"/>
        <v>689279.7104968939</v>
      </c>
      <c r="F108" s="17">
        <f t="shared" si="28"/>
        <v>577968.7523261614</v>
      </c>
      <c r="G108" s="17">
        <f t="shared" si="28"/>
        <v>590662.0212423139</v>
      </c>
      <c r="H108" s="17">
        <f t="shared" si="28"/>
        <v>513020.3465843767</v>
      </c>
      <c r="I108" s="17">
        <f t="shared" si="28"/>
        <v>463490.63944867905</v>
      </c>
      <c r="J108" s="17">
        <f t="shared" si="28"/>
        <v>382919.38822332816</v>
      </c>
      <c r="K108" s="17">
        <f t="shared" si="28"/>
        <v>314394.2783851364</v>
      </c>
      <c r="L108" s="17">
        <f t="shared" si="28"/>
        <v>271523.0167086108</v>
      </c>
      <c r="M108" s="17">
        <f t="shared" si="28"/>
        <v>564299.7878635977</v>
      </c>
      <c r="N108" s="17">
        <f t="shared" si="28"/>
        <v>503562.9220182421</v>
      </c>
      <c r="O108" s="17">
        <f aca="true" t="shared" si="29" ref="O108:O109">SUM(C108:N108)</f>
        <v>6497472.158528966</v>
      </c>
      <c r="P108" s="17"/>
      <c r="Q108" s="17"/>
      <c r="R108" s="17"/>
    </row>
    <row r="109" spans="2:18" ht="15.75" customHeight="1">
      <c r="B109" s="19" t="s">
        <v>129</v>
      </c>
      <c r="C109" s="17">
        <f aca="true" t="shared" si="30" ref="C109:N109">C105</f>
        <v>-75705.42476837352</v>
      </c>
      <c r="D109" s="17">
        <f t="shared" si="30"/>
        <v>-86043.2247347328</v>
      </c>
      <c r="E109" s="17">
        <f t="shared" si="30"/>
        <v>-111310.95817073243</v>
      </c>
      <c r="F109" s="17">
        <f t="shared" si="30"/>
        <v>12693.268916152505</v>
      </c>
      <c r="G109" s="17">
        <f t="shared" si="30"/>
        <v>-77641.67465793718</v>
      </c>
      <c r="H109" s="17">
        <f t="shared" si="30"/>
        <v>-49529.70713569763</v>
      </c>
      <c r="I109" s="17">
        <f t="shared" si="30"/>
        <v>-80571.25122535089</v>
      </c>
      <c r="J109" s="17">
        <f t="shared" si="30"/>
        <v>-68525.10983819177</v>
      </c>
      <c r="K109" s="17">
        <f t="shared" si="30"/>
        <v>-42871.26167652558</v>
      </c>
      <c r="L109" s="17">
        <f t="shared" si="30"/>
        <v>292776.7711549869</v>
      </c>
      <c r="M109" s="17">
        <f t="shared" si="30"/>
        <v>-60736.86584535563</v>
      </c>
      <c r="N109" s="17">
        <f t="shared" si="30"/>
        <v>31385.060444258022</v>
      </c>
      <c r="O109" s="17">
        <f t="shared" si="29"/>
        <v>-316080.37753749994</v>
      </c>
      <c r="P109" s="17"/>
      <c r="Q109" s="17"/>
      <c r="R109" s="17"/>
    </row>
    <row r="110" spans="2:18" ht="15.75" customHeight="1">
      <c r="B110" s="31" t="s">
        <v>131</v>
      </c>
      <c r="C110" s="17">
        <f>-'[1]Morgan Stanley Checks'!H12</f>
        <v>-1735</v>
      </c>
      <c r="D110" s="17">
        <f>-'[1]Morgan Stanley Checks'!H11</f>
        <v>-789.88</v>
      </c>
      <c r="E110" s="17">
        <f>-'[1]Morgan Stanley Checks'!H10</f>
        <v>-8316</v>
      </c>
      <c r="F110" s="17">
        <f>-'[1]Morgan Stanley Checks'!H9</f>
        <v>-7286</v>
      </c>
      <c r="G110" s="17">
        <f>-'[1]Morgan Stanley Checks'!H8</f>
        <v>-1233</v>
      </c>
      <c r="H110" s="17">
        <f>-'[1]Morgan Stanley Checks'!H7</f>
        <v>-5718.99</v>
      </c>
      <c r="I110" s="17">
        <f>-'[1]Morgan Stanley Checks'!H6</f>
        <v>-6990</v>
      </c>
      <c r="J110" s="17">
        <f>-'[1]Morgan Stanley Checks'!H5</f>
        <v>-2843.87</v>
      </c>
      <c r="K110" s="17">
        <f>-'[1]Morgan Stanley Checks'!H4</f>
        <v>-5445</v>
      </c>
      <c r="L110" s="17">
        <f>-'[1]Morgan Stanley Checks'!H3</f>
        <v>-6351</v>
      </c>
      <c r="M110" s="17">
        <f>-'[1]Morgan Stanley Checks'!H14</f>
        <v>-1377</v>
      </c>
      <c r="N110" s="17">
        <f>-'[1]Morgan Stanley Checks'!H13</f>
        <v>-1484.83</v>
      </c>
      <c r="O110" s="17"/>
      <c r="P110" s="27" t="s">
        <v>132</v>
      </c>
      <c r="Q110" s="17"/>
      <c r="R110" s="17"/>
    </row>
    <row r="111" spans="2:18" ht="15.75" customHeight="1">
      <c r="B111" s="32" t="s">
        <v>133</v>
      </c>
      <c r="C111" s="33">
        <f aca="true" t="shared" si="31" ref="C111:N111">C108+C109</f>
        <v>775322.9352316266</v>
      </c>
      <c r="D111" s="33">
        <f t="shared" si="31"/>
        <v>689279.7104968939</v>
      </c>
      <c r="E111" s="33">
        <f t="shared" si="31"/>
        <v>577968.7523261614</v>
      </c>
      <c r="F111" s="33">
        <f t="shared" si="31"/>
        <v>590662.0212423139</v>
      </c>
      <c r="G111" s="33">
        <f t="shared" si="31"/>
        <v>513020.3465843767</v>
      </c>
      <c r="H111" s="33">
        <f t="shared" si="31"/>
        <v>463490.63944867905</v>
      </c>
      <c r="I111" s="33">
        <f t="shared" si="31"/>
        <v>382919.38822332816</v>
      </c>
      <c r="J111" s="33">
        <f t="shared" si="31"/>
        <v>314394.2783851364</v>
      </c>
      <c r="K111" s="33">
        <f t="shared" si="31"/>
        <v>271523.0167086108</v>
      </c>
      <c r="L111" s="33">
        <f t="shared" si="31"/>
        <v>564299.7878635977</v>
      </c>
      <c r="M111" s="33">
        <f t="shared" si="31"/>
        <v>503562.9220182421</v>
      </c>
      <c r="N111" s="33">
        <f t="shared" si="31"/>
        <v>534947.9824625001</v>
      </c>
      <c r="O111" s="34">
        <f>SUM(C111:N111)</f>
        <v>6181391.780991467</v>
      </c>
      <c r="P111" s="17"/>
      <c r="Q111" s="17"/>
      <c r="R111" s="17"/>
    </row>
    <row r="112" spans="3:18" ht="15.75" customHeight="1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3:18" ht="15.75" customHeight="1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3:18" ht="15.75" customHeight="1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3:18" ht="15.75" customHeight="1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3:18" ht="15.75" customHeight="1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3:18" ht="15.75" customHeight="1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3:18" ht="15.75" customHeight="1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3:18" ht="15.75" customHeight="1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3:18" ht="15.75" customHeight="1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3:18" ht="15.75" customHeight="1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3:18" ht="15.75" customHeight="1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3:18" ht="15.75" customHeight="1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3:18" ht="15.75" customHeight="1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3:18" ht="15.75" customHeight="1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3:18" ht="15.75" customHeight="1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3:18" ht="15.75" customHeight="1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9">
    <mergeCell ref="P10:P11"/>
    <mergeCell ref="Q10:Q11"/>
    <mergeCell ref="A13:B13"/>
    <mergeCell ref="F2:G2"/>
    <mergeCell ref="F3:G3"/>
    <mergeCell ref="F4:G4"/>
    <mergeCell ref="F5:G5"/>
    <mergeCell ref="F6:G6"/>
    <mergeCell ref="O10:O11"/>
  </mergeCells>
  <conditionalFormatting sqref="C111:N111">
    <cfRule type="cellIs" priority="1" dxfId="0" operator="lessThan">
      <formula>400000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2023-03-28T20:50:20Z</dcterms:created>
  <dcterms:modified xsi:type="dcterms:W3CDTF">2023-03-28T20:51:13Z</dcterms:modified>
  <cp:category/>
  <cp:version/>
  <cp:contentType/>
  <cp:contentStatus/>
</cp:coreProperties>
</file>