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athercacanindin/Desktop/Board Reports 2025/Spring 2025/"/>
    </mc:Choice>
  </mc:AlternateContent>
  <xr:revisionPtr revIDLastSave="0" documentId="8_{0AE21E7C-1023-0B49-939F-8D12C3CC4296}" xr6:coauthVersionLast="47" xr6:coauthVersionMax="47" xr10:uidLastSave="{00000000-0000-0000-0000-000000000000}"/>
  <bookViews>
    <workbookView xWindow="0" yWindow="740" windowWidth="34560" windowHeight="21600" xr2:uid="{A6AEB4A0-2D65-8941-B017-5007EB6C2F0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0" i="1" l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01" i="1"/>
  <c r="N101" i="1"/>
  <c r="M101" i="1"/>
  <c r="L101" i="1"/>
  <c r="C101" i="1"/>
  <c r="R100" i="1"/>
  <c r="Q100" i="1"/>
  <c r="P100" i="1"/>
  <c r="P101" i="1" s="1"/>
  <c r="O100" i="1"/>
  <c r="N100" i="1"/>
  <c r="M100" i="1"/>
  <c r="L100" i="1"/>
  <c r="K100" i="1"/>
  <c r="J100" i="1"/>
  <c r="I100" i="1"/>
  <c r="I101" i="1" s="1"/>
  <c r="H100" i="1"/>
  <c r="H101" i="1" s="1"/>
  <c r="G100" i="1"/>
  <c r="G101" i="1" s="1"/>
  <c r="F100" i="1"/>
  <c r="E100" i="1"/>
  <c r="D100" i="1"/>
  <c r="D101" i="1" s="1"/>
  <c r="C100" i="1"/>
  <c r="H99" i="1"/>
  <c r="G99" i="1"/>
  <c r="R98" i="1"/>
  <c r="R101" i="1" s="1"/>
  <c r="Q98" i="1"/>
  <c r="Q101" i="1" s="1"/>
  <c r="P98" i="1"/>
  <c r="O98" i="1"/>
  <c r="N98" i="1"/>
  <c r="M98" i="1"/>
  <c r="L98" i="1"/>
  <c r="K98" i="1"/>
  <c r="K101" i="1" s="1"/>
  <c r="J98" i="1"/>
  <c r="J101" i="1" s="1"/>
  <c r="I98" i="1"/>
  <c r="H98" i="1"/>
  <c r="G98" i="1"/>
  <c r="F98" i="1"/>
  <c r="F101" i="1" s="1"/>
  <c r="E98" i="1"/>
  <c r="E101" i="1" s="1"/>
  <c r="D98" i="1"/>
  <c r="C98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R92" i="1"/>
  <c r="R96" i="1" s="1"/>
  <c r="Q92" i="1"/>
  <c r="Q96" i="1" s="1"/>
  <c r="P92" i="1"/>
  <c r="P96" i="1" s="1"/>
  <c r="O92" i="1"/>
  <c r="O96" i="1" s="1"/>
  <c r="N92" i="1"/>
  <c r="N96" i="1" s="1"/>
  <c r="M92" i="1"/>
  <c r="M96" i="1" s="1"/>
  <c r="L92" i="1"/>
  <c r="L96" i="1" s="1"/>
  <c r="K92" i="1"/>
  <c r="K96" i="1" s="1"/>
  <c r="J92" i="1"/>
  <c r="J96" i="1" s="1"/>
  <c r="I92" i="1"/>
  <c r="I96" i="1" s="1"/>
  <c r="H92" i="1"/>
  <c r="H96" i="1" s="1"/>
  <c r="G92" i="1"/>
  <c r="F92" i="1"/>
  <c r="F96" i="1" s="1"/>
  <c r="E92" i="1"/>
  <c r="E96" i="1" s="1"/>
  <c r="D92" i="1"/>
  <c r="D96" i="1" s="1"/>
  <c r="C92" i="1"/>
  <c r="C96" i="1" s="1"/>
  <c r="I90" i="1"/>
  <c r="H90" i="1"/>
  <c r="Q88" i="1"/>
  <c r="N88" i="1"/>
  <c r="K88" i="1"/>
  <c r="H88" i="1"/>
  <c r="E88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R82" i="1"/>
  <c r="Q82" i="1"/>
  <c r="P82" i="1"/>
  <c r="O82" i="1"/>
  <c r="N82" i="1"/>
  <c r="M82" i="1"/>
  <c r="L82" i="1"/>
  <c r="L90" i="1" s="1"/>
  <c r="K82" i="1"/>
  <c r="K90" i="1" s="1"/>
  <c r="J82" i="1"/>
  <c r="J90" i="1" s="1"/>
  <c r="I82" i="1"/>
  <c r="H82" i="1"/>
  <c r="G82" i="1"/>
  <c r="F82" i="1"/>
  <c r="E82" i="1"/>
  <c r="D82" i="1"/>
  <c r="C82" i="1"/>
  <c r="N81" i="1"/>
  <c r="N90" i="1" s="1"/>
  <c r="M81" i="1"/>
  <c r="M90" i="1" s="1"/>
  <c r="L81" i="1"/>
  <c r="K81" i="1"/>
  <c r="J81" i="1"/>
  <c r="I81" i="1"/>
  <c r="H81" i="1"/>
  <c r="G81" i="1"/>
  <c r="G90" i="1" s="1"/>
  <c r="F81" i="1"/>
  <c r="F90" i="1" s="1"/>
  <c r="E81" i="1"/>
  <c r="E90" i="1" s="1"/>
  <c r="D81" i="1"/>
  <c r="D90" i="1" s="1"/>
  <c r="C81" i="1"/>
  <c r="C90" i="1" s="1"/>
  <c r="H79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R76" i="1"/>
  <c r="R79" i="1" s="1"/>
  <c r="Q76" i="1"/>
  <c r="P76" i="1"/>
  <c r="O76" i="1"/>
  <c r="N76" i="1"/>
  <c r="M76" i="1"/>
  <c r="L76" i="1"/>
  <c r="K76" i="1"/>
  <c r="J76" i="1"/>
  <c r="I76" i="1"/>
  <c r="I79" i="1" s="1"/>
  <c r="H76" i="1"/>
  <c r="G76" i="1"/>
  <c r="G79" i="1" s="1"/>
  <c r="F76" i="1"/>
  <c r="F79" i="1" s="1"/>
  <c r="E76" i="1"/>
  <c r="D76" i="1"/>
  <c r="C76" i="1"/>
  <c r="R75" i="1"/>
  <c r="Q75" i="1"/>
  <c r="P75" i="1"/>
  <c r="O75" i="1"/>
  <c r="N75" i="1"/>
  <c r="M75" i="1"/>
  <c r="M79" i="1" s="1"/>
  <c r="L75" i="1"/>
  <c r="L79" i="1" s="1"/>
  <c r="K75" i="1"/>
  <c r="K79" i="1" s="1"/>
  <c r="J75" i="1"/>
  <c r="J79" i="1" s="1"/>
  <c r="I75" i="1"/>
  <c r="H75" i="1"/>
  <c r="G75" i="1"/>
  <c r="F75" i="1"/>
  <c r="E75" i="1"/>
  <c r="D75" i="1"/>
  <c r="C75" i="1"/>
  <c r="R74" i="1"/>
  <c r="Q74" i="1"/>
  <c r="Q79" i="1" s="1"/>
  <c r="P74" i="1"/>
  <c r="P79" i="1" s="1"/>
  <c r="O74" i="1"/>
  <c r="N74" i="1"/>
  <c r="M74" i="1"/>
  <c r="L74" i="1"/>
  <c r="K74" i="1"/>
  <c r="J74" i="1"/>
  <c r="I74" i="1"/>
  <c r="H74" i="1"/>
  <c r="G74" i="1"/>
  <c r="F74" i="1"/>
  <c r="E74" i="1"/>
  <c r="E79" i="1" s="1"/>
  <c r="D74" i="1"/>
  <c r="D79" i="1" s="1"/>
  <c r="C74" i="1"/>
  <c r="C79" i="1" s="1"/>
  <c r="J72" i="1"/>
  <c r="I72" i="1"/>
  <c r="H72" i="1"/>
  <c r="G72" i="1"/>
  <c r="R71" i="1"/>
  <c r="Q71" i="1"/>
  <c r="P71" i="1"/>
  <c r="O71" i="1"/>
  <c r="N71" i="1"/>
  <c r="N72" i="1" s="1"/>
  <c r="M71" i="1"/>
  <c r="M72" i="1" s="1"/>
  <c r="L71" i="1"/>
  <c r="L72" i="1" s="1"/>
  <c r="K71" i="1"/>
  <c r="K72" i="1" s="1"/>
  <c r="J71" i="1"/>
  <c r="I71" i="1"/>
  <c r="H71" i="1"/>
  <c r="G71" i="1"/>
  <c r="F71" i="1"/>
  <c r="E71" i="1"/>
  <c r="D71" i="1"/>
  <c r="C71" i="1"/>
  <c r="R70" i="1"/>
  <c r="R72" i="1" s="1"/>
  <c r="Q70" i="1"/>
  <c r="Q72" i="1" s="1"/>
  <c r="P70" i="1"/>
  <c r="P72" i="1" s="1"/>
  <c r="O70" i="1"/>
  <c r="O72" i="1" s="1"/>
  <c r="N70" i="1"/>
  <c r="M70" i="1"/>
  <c r="L70" i="1"/>
  <c r="K70" i="1"/>
  <c r="J70" i="1"/>
  <c r="I70" i="1"/>
  <c r="H70" i="1"/>
  <c r="G70" i="1"/>
  <c r="F70" i="1"/>
  <c r="F72" i="1" s="1"/>
  <c r="E70" i="1"/>
  <c r="E72" i="1" s="1"/>
  <c r="D70" i="1"/>
  <c r="D72" i="1" s="1"/>
  <c r="C70" i="1"/>
  <c r="C72" i="1" s="1"/>
  <c r="S72" i="1" s="1"/>
  <c r="K68" i="1"/>
  <c r="J68" i="1"/>
  <c r="I68" i="1"/>
  <c r="H68" i="1"/>
  <c r="R66" i="1"/>
  <c r="R68" i="1" s="1"/>
  <c r="Q66" i="1"/>
  <c r="Q68" i="1" s="1"/>
  <c r="P66" i="1"/>
  <c r="P68" i="1" s="1"/>
  <c r="O66" i="1"/>
  <c r="O68" i="1" s="1"/>
  <c r="N66" i="1"/>
  <c r="N68" i="1" s="1"/>
  <c r="M66" i="1"/>
  <c r="M68" i="1" s="1"/>
  <c r="L66" i="1"/>
  <c r="L68" i="1" s="1"/>
  <c r="K66" i="1"/>
  <c r="J66" i="1"/>
  <c r="I66" i="1"/>
  <c r="H66" i="1"/>
  <c r="G66" i="1"/>
  <c r="G68" i="1" s="1"/>
  <c r="F66" i="1"/>
  <c r="F68" i="1" s="1"/>
  <c r="E66" i="1"/>
  <c r="E68" i="1" s="1"/>
  <c r="D66" i="1"/>
  <c r="D68" i="1" s="1"/>
  <c r="C66" i="1"/>
  <c r="C68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S63" i="1" s="1"/>
  <c r="D63" i="1"/>
  <c r="C63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R51" i="1"/>
  <c r="Q51" i="1"/>
  <c r="P51" i="1"/>
  <c r="O51" i="1"/>
  <c r="F51" i="1"/>
  <c r="E51" i="1"/>
  <c r="D51" i="1"/>
  <c r="C51" i="1"/>
  <c r="R50" i="1"/>
  <c r="Q50" i="1"/>
  <c r="P50" i="1"/>
  <c r="O50" i="1"/>
  <c r="N50" i="1"/>
  <c r="N51" i="1" s="1"/>
  <c r="M50" i="1"/>
  <c r="M51" i="1" s="1"/>
  <c r="L50" i="1"/>
  <c r="L51" i="1" s="1"/>
  <c r="K50" i="1"/>
  <c r="K51" i="1" s="1"/>
  <c r="J50" i="1"/>
  <c r="J51" i="1" s="1"/>
  <c r="I50" i="1"/>
  <c r="I51" i="1" s="1"/>
  <c r="H50" i="1"/>
  <c r="H51" i="1" s="1"/>
  <c r="G50" i="1"/>
  <c r="G51" i="1" s="1"/>
  <c r="F50" i="1"/>
  <c r="E50" i="1"/>
  <c r="D50" i="1"/>
  <c r="C50" i="1"/>
  <c r="O47" i="1"/>
  <c r="N47" i="1"/>
  <c r="M47" i="1"/>
  <c r="L47" i="1"/>
  <c r="C47" i="1"/>
  <c r="R46" i="1"/>
  <c r="R47" i="1" s="1"/>
  <c r="Q46" i="1"/>
  <c r="Q47" i="1" s="1"/>
  <c r="P46" i="1"/>
  <c r="P47" i="1" s="1"/>
  <c r="O46" i="1"/>
  <c r="N46" i="1"/>
  <c r="M46" i="1"/>
  <c r="L46" i="1"/>
  <c r="K46" i="1"/>
  <c r="J46" i="1"/>
  <c r="I46" i="1"/>
  <c r="H46" i="1"/>
  <c r="G46" i="1"/>
  <c r="G47" i="1" s="1"/>
  <c r="F46" i="1"/>
  <c r="F47" i="1" s="1"/>
  <c r="E46" i="1"/>
  <c r="E47" i="1" s="1"/>
  <c r="E103" i="1" s="1"/>
  <c r="D46" i="1"/>
  <c r="D47" i="1" s="1"/>
  <c r="D103" i="1" s="1"/>
  <c r="C46" i="1"/>
  <c r="R45" i="1"/>
  <c r="Q45" i="1"/>
  <c r="P45" i="1"/>
  <c r="O45" i="1"/>
  <c r="N45" i="1"/>
  <c r="M45" i="1"/>
  <c r="L45" i="1"/>
  <c r="K45" i="1"/>
  <c r="K47" i="1" s="1"/>
  <c r="J45" i="1"/>
  <c r="J47" i="1" s="1"/>
  <c r="I45" i="1"/>
  <c r="I47" i="1" s="1"/>
  <c r="I103" i="1" s="1"/>
  <c r="H45" i="1"/>
  <c r="H47" i="1" s="1"/>
  <c r="H103" i="1" s="1"/>
  <c r="G45" i="1"/>
  <c r="F45" i="1"/>
  <c r="E45" i="1"/>
  <c r="D45" i="1"/>
  <c r="C45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S39" i="1" s="1"/>
  <c r="E39" i="1"/>
  <c r="C39" i="1"/>
  <c r="M37" i="1"/>
  <c r="J37" i="1"/>
  <c r="I37" i="1"/>
  <c r="G37" i="1"/>
  <c r="D37" i="1"/>
  <c r="D39" i="1" s="1"/>
  <c r="R36" i="1"/>
  <c r="Q36" i="1"/>
  <c r="P36" i="1"/>
  <c r="G36" i="1"/>
  <c r="F36" i="1"/>
  <c r="E36" i="1"/>
  <c r="D36" i="1"/>
  <c r="R35" i="1"/>
  <c r="Q35" i="1"/>
  <c r="P35" i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F35" i="1"/>
  <c r="E35" i="1"/>
  <c r="D35" i="1"/>
  <c r="C35" i="1"/>
  <c r="C36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R24" i="1"/>
  <c r="G24" i="1"/>
  <c r="F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R21" i="1"/>
  <c r="Q21" i="1"/>
  <c r="P21" i="1"/>
  <c r="O21" i="1"/>
  <c r="N21" i="1"/>
  <c r="M21" i="1"/>
  <c r="L21" i="1"/>
  <c r="K21" i="1"/>
  <c r="J21" i="1"/>
  <c r="I21" i="1"/>
  <c r="I24" i="1" s="1"/>
  <c r="H21" i="1"/>
  <c r="H24" i="1" s="1"/>
  <c r="G21" i="1"/>
  <c r="F21" i="1"/>
  <c r="E21" i="1"/>
  <c r="D21" i="1"/>
  <c r="C21" i="1"/>
  <c r="R20" i="1"/>
  <c r="Q20" i="1"/>
  <c r="Q24" i="1" s="1"/>
  <c r="P20" i="1"/>
  <c r="P24" i="1" s="1"/>
  <c r="O20" i="1"/>
  <c r="N20" i="1"/>
  <c r="M20" i="1"/>
  <c r="M24" i="1" s="1"/>
  <c r="L20" i="1"/>
  <c r="L24" i="1" s="1"/>
  <c r="K20" i="1"/>
  <c r="K24" i="1" s="1"/>
  <c r="J20" i="1"/>
  <c r="J24" i="1" s="1"/>
  <c r="I20" i="1"/>
  <c r="H20" i="1"/>
  <c r="G20" i="1"/>
  <c r="F20" i="1"/>
  <c r="E20" i="1"/>
  <c r="E24" i="1" s="1"/>
  <c r="D20" i="1"/>
  <c r="D24" i="1" s="1"/>
  <c r="C20" i="1"/>
  <c r="R18" i="1"/>
  <c r="Q18" i="1"/>
  <c r="P18" i="1"/>
  <c r="O18" i="1"/>
  <c r="F18" i="1"/>
  <c r="E18" i="1"/>
  <c r="D18" i="1"/>
  <c r="C18" i="1"/>
  <c r="R17" i="1"/>
  <c r="Q17" i="1"/>
  <c r="P17" i="1"/>
  <c r="O17" i="1"/>
  <c r="N17" i="1"/>
  <c r="M17" i="1"/>
  <c r="L17" i="1"/>
  <c r="K17" i="1"/>
  <c r="J17" i="1"/>
  <c r="I17" i="1"/>
  <c r="I18" i="1" s="1"/>
  <c r="H17" i="1"/>
  <c r="H18" i="1" s="1"/>
  <c r="H41" i="1" s="1"/>
  <c r="G17" i="1"/>
  <c r="G18" i="1" s="1"/>
  <c r="G41" i="1" s="1"/>
  <c r="F17" i="1"/>
  <c r="E17" i="1"/>
  <c r="D17" i="1"/>
  <c r="C17" i="1"/>
  <c r="R16" i="1"/>
  <c r="Q16" i="1"/>
  <c r="P16" i="1"/>
  <c r="O16" i="1"/>
  <c r="N16" i="1"/>
  <c r="N18" i="1" s="1"/>
  <c r="M16" i="1"/>
  <c r="M18" i="1" s="1"/>
  <c r="M41" i="1" s="1"/>
  <c r="L16" i="1"/>
  <c r="L18" i="1" s="1"/>
  <c r="L41" i="1" s="1"/>
  <c r="K16" i="1"/>
  <c r="K18" i="1" s="1"/>
  <c r="K41" i="1" s="1"/>
  <c r="J16" i="1"/>
  <c r="J18" i="1" s="1"/>
  <c r="J41" i="1" s="1"/>
  <c r="I16" i="1"/>
  <c r="H16" i="1"/>
  <c r="G16" i="1"/>
  <c r="F16" i="1"/>
  <c r="E16" i="1"/>
  <c r="D16" i="1"/>
  <c r="C16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F6" i="1"/>
  <c r="C108" i="1" s="1"/>
  <c r="F5" i="1"/>
  <c r="S96" i="1" l="1"/>
  <c r="G103" i="1"/>
  <c r="H105" i="1"/>
  <c r="H109" i="1" s="1"/>
  <c r="E41" i="1"/>
  <c r="E105" i="1" s="1"/>
  <c r="E109" i="1" s="1"/>
  <c r="C103" i="1"/>
  <c r="P103" i="1"/>
  <c r="K105" i="1"/>
  <c r="K109" i="1" s="1"/>
  <c r="C41" i="1"/>
  <c r="C105" i="1" s="1"/>
  <c r="C109" i="1" s="1"/>
  <c r="C111" i="1" s="1"/>
  <c r="S18" i="1"/>
  <c r="O79" i="1"/>
  <c r="F103" i="1"/>
  <c r="L103" i="1"/>
  <c r="S68" i="1"/>
  <c r="G105" i="1"/>
  <c r="G109" i="1" s="1"/>
  <c r="L105" i="1"/>
  <c r="L109" i="1" s="1"/>
  <c r="R103" i="1"/>
  <c r="F41" i="1"/>
  <c r="F105" i="1" s="1"/>
  <c r="F109" i="1" s="1"/>
  <c r="S51" i="1"/>
  <c r="S30" i="1"/>
  <c r="N79" i="1"/>
  <c r="S79" i="1" s="1"/>
  <c r="D41" i="1"/>
  <c r="D105" i="1" s="1"/>
  <c r="D109" i="1" s="1"/>
  <c r="J103" i="1"/>
  <c r="S90" i="1"/>
  <c r="I41" i="1"/>
  <c r="I105" i="1" s="1"/>
  <c r="I109" i="1" s="1"/>
  <c r="K103" i="1"/>
  <c r="S57" i="1"/>
  <c r="M103" i="1"/>
  <c r="M105" i="1" s="1"/>
  <c r="M109" i="1" s="1"/>
  <c r="S101" i="1"/>
  <c r="P41" i="1"/>
  <c r="P105" i="1" s="1"/>
  <c r="P109" i="1" s="1"/>
  <c r="N24" i="1"/>
  <c r="N41" i="1" s="1"/>
  <c r="O24" i="1"/>
  <c r="O41" i="1" s="1"/>
  <c r="O105" i="1" s="1"/>
  <c r="O109" i="1" s="1"/>
  <c r="S36" i="1"/>
  <c r="G96" i="1"/>
  <c r="J105" i="1"/>
  <c r="J109" i="1" s="1"/>
  <c r="Q41" i="1"/>
  <c r="R41" i="1"/>
  <c r="R105" i="1" s="1"/>
  <c r="R109" i="1" s="1"/>
  <c r="C24" i="1"/>
  <c r="O81" i="1"/>
  <c r="O90" i="1" s="1"/>
  <c r="O103" i="1" s="1"/>
  <c r="Q81" i="1"/>
  <c r="Q90" i="1" s="1"/>
  <c r="Q103" i="1" s="1"/>
  <c r="R81" i="1"/>
  <c r="R90" i="1" s="1"/>
  <c r="P81" i="1"/>
  <c r="P90" i="1" s="1"/>
  <c r="S47" i="1"/>
  <c r="D108" i="1" l="1"/>
  <c r="Q105" i="1"/>
  <c r="Q109" i="1" s="1"/>
  <c r="N103" i="1"/>
  <c r="N105" i="1" s="1"/>
  <c r="N109" i="1" s="1"/>
  <c r="S109" i="1" s="1"/>
  <c r="S24" i="1"/>
  <c r="S41" i="1" s="1"/>
  <c r="S103" i="1"/>
  <c r="D111" i="1" l="1"/>
  <c r="E108" i="1" l="1"/>
  <c r="E111" i="1" l="1"/>
  <c r="F108" i="1" l="1"/>
  <c r="F111" i="1" l="1"/>
  <c r="G108" i="1" l="1"/>
  <c r="G111" i="1" l="1"/>
  <c r="H108" i="1" l="1"/>
  <c r="H111" i="1" s="1"/>
  <c r="I108" i="1" s="1"/>
  <c r="I111" i="1" s="1"/>
  <c r="J108" i="1" s="1"/>
  <c r="J111" i="1" s="1"/>
  <c r="K108" i="1" s="1"/>
  <c r="K111" i="1" s="1"/>
  <c r="L108" i="1" s="1"/>
  <c r="L111" i="1" s="1"/>
  <c r="M108" i="1" s="1"/>
  <c r="M111" i="1" s="1"/>
  <c r="N108" i="1" s="1"/>
  <c r="N111" i="1" l="1"/>
  <c r="S108" i="1"/>
  <c r="O108" i="1" l="1"/>
  <c r="O111" i="1" s="1"/>
  <c r="P108" i="1" s="1"/>
  <c r="P111" i="1" s="1"/>
  <c r="Q108" i="1" s="1"/>
  <c r="Q111" i="1" s="1"/>
  <c r="R108" i="1" s="1"/>
  <c r="R111" i="1" s="1"/>
  <c r="S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Jackson</author>
  </authors>
  <commentList>
    <comment ref="I37" authorId="0" shapeId="0" xr:uid="{E9838816-C276-624F-B01C-ACB1A3C467D7}">
      <text>
        <r>
          <rPr>
            <b/>
            <sz val="10"/>
            <color rgb="FF000000"/>
            <rFont val="Arial"/>
            <family val="2"/>
          </rPr>
          <t>Patricia Jackson: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FY25 Drawdown max = $230,000</t>
        </r>
      </text>
    </comment>
    <comment ref="L37" authorId="0" shapeId="0" xr:uid="{DA72229F-367D-1E45-97C3-9E8FF645DF72}">
      <text>
        <r>
          <rPr>
            <b/>
            <sz val="10"/>
            <color rgb="FF000000"/>
            <rFont val="Arial"/>
            <family val="2"/>
          </rPr>
          <t>Patricia Jackson: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Less $15,000 estimated FY25 conference loss
</t>
        </r>
      </text>
    </comment>
    <comment ref="F111" authorId="0" shapeId="0" xr:uid="{1D724B62-688C-794A-8725-5A85DDDF7017}">
      <text>
        <r>
          <rPr>
            <b/>
            <sz val="10"/>
            <color rgb="FF000000"/>
            <rFont val="Tahoma"/>
            <family val="2"/>
          </rPr>
          <t>Patricia Jackson: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Track September 30 and December 31 year over year</t>
        </r>
      </text>
    </comment>
  </commentList>
</comments>
</file>

<file path=xl/sharedStrings.xml><?xml version="1.0" encoding="utf-8"?>
<sst xmlns="http://schemas.openxmlformats.org/spreadsheetml/2006/main" count="188" uniqueCount="147">
  <si>
    <t>BSA Forecasting/Projections 2025-26</t>
  </si>
  <si>
    <t>Operating Bank Balance</t>
  </si>
  <si>
    <t>as of 1/31/25</t>
  </si>
  <si>
    <t>Money Market Bank Balance</t>
  </si>
  <si>
    <t>Less: Outstanding Payments Balance</t>
  </si>
  <si>
    <t xml:space="preserve">Taken from Jan Reconciliation Outstanding Checks </t>
  </si>
  <si>
    <t>Plus: Uncleared Deposits</t>
  </si>
  <si>
    <t>Taken from Jan Reconciliation Report &amp; Outstanding Invoices as of 1/31/2025 (Invoices 23671, 23673-76)</t>
  </si>
  <si>
    <t>Total Bank Balance</t>
  </si>
  <si>
    <t>Starting Date</t>
  </si>
  <si>
    <t>12 Month Total</t>
  </si>
  <si>
    <t>Input Source</t>
  </si>
  <si>
    <t>Notes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</si>
  <si>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</si>
  <si>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</si>
  <si>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</si>
  <si>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</si>
  <si>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</si>
  <si>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</si>
  <si>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</si>
  <si>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</si>
  <si>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</si>
  <si>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</si>
  <si>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</si>
  <si>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</si>
  <si>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</si>
  <si>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</si>
  <si>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</si>
  <si>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</si>
  <si>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Account</t>
  </si>
  <si>
    <t>Income</t>
  </si>
  <si>
    <t>Membership Income</t>
  </si>
  <si>
    <t>Dues</t>
  </si>
  <si>
    <t>FY25 Budget total x Percentage collected by month in FY24/FY25</t>
  </si>
  <si>
    <t>Section Dues</t>
  </si>
  <si>
    <t>Total Membership Income</t>
  </si>
  <si>
    <t>Special Funds/Donations</t>
  </si>
  <si>
    <t>Endowment Income</t>
  </si>
  <si>
    <t>Past President's Fund</t>
  </si>
  <si>
    <t>Awards</t>
  </si>
  <si>
    <t>Other Funds</t>
  </si>
  <si>
    <t>Total Special Funds/Donations</t>
  </si>
  <si>
    <t>Publications</t>
  </si>
  <si>
    <t>Journal Revenue/Royalty</t>
  </si>
  <si>
    <t>Journal Development</t>
  </si>
  <si>
    <t>Journal Travel Fund</t>
  </si>
  <si>
    <t>Journal Editorial Support</t>
  </si>
  <si>
    <t>Total Publications Income</t>
  </si>
  <si>
    <t>Grants</t>
  </si>
  <si>
    <t>All direct grant activity excluded from forecasting tool</t>
  </si>
  <si>
    <t>B&amp;B</t>
  </si>
  <si>
    <t>F2</t>
  </si>
  <si>
    <t>Indigenous Voices</t>
  </si>
  <si>
    <t>Overhead Recovery - Grants</t>
  </si>
  <si>
    <t>See "Overhead Details" Tab</t>
  </si>
  <si>
    <t>Total Grants Income</t>
  </si>
  <si>
    <t>All direct grant activity excluded from forecasting tool with exception of Indirect Overhead Income</t>
  </si>
  <si>
    <t>Other Income</t>
  </si>
  <si>
    <t>Mgmt Svc Income per SSE &amp; SEB &amp; ASPT Contracts + Comp.Plant Bio Award Indirect + FY25 Conference Income/Loss</t>
  </si>
  <si>
    <t>increase to $56,000 from SSE for 2025 - 1st payment March 2025 in new amount</t>
  </si>
  <si>
    <t>NE Meeting Income</t>
  </si>
  <si>
    <t>Total Other Income</t>
  </si>
  <si>
    <t>Total Income</t>
  </si>
  <si>
    <t>Expenses</t>
  </si>
  <si>
    <t>Employment</t>
  </si>
  <si>
    <t>Salaries, benefits, &amp; taxes</t>
  </si>
  <si>
    <t>See "Payroll Expense" tab for calculation</t>
  </si>
  <si>
    <t>payment to MBG every 2 weeks less grant activity</t>
  </si>
  <si>
    <t>Staff training</t>
  </si>
  <si>
    <t>FY25 Budget (averaged per month)</t>
  </si>
  <si>
    <t>Total Employment Expenses</t>
  </si>
  <si>
    <t>Contract &amp; Labor</t>
  </si>
  <si>
    <t>AJB Contract Labor-Copy Editing</t>
  </si>
  <si>
    <t>Per Contract w/ AJB EIC</t>
  </si>
  <si>
    <t>Last payment for FY24 made to P Diggle in FY25. New contract with S Graham in FY25, first $20k payment in FY26</t>
  </si>
  <si>
    <t xml:space="preserve"> Contract Labor - General</t>
  </si>
  <si>
    <t>Total Contract &amp; Labor Expenses</t>
  </si>
  <si>
    <t xml:space="preserve">Grants </t>
  </si>
  <si>
    <t>Participant Support Costs</t>
  </si>
  <si>
    <t>Consultants - PlantingScience Contract Labor</t>
  </si>
  <si>
    <t>Travel</t>
  </si>
  <si>
    <t>Equipment/Software</t>
  </si>
  <si>
    <t>Total Grants Expense</t>
  </si>
  <si>
    <t>Travel &amp; Meeting</t>
  </si>
  <si>
    <t>Air Travel</t>
  </si>
  <si>
    <t>Accommodations</t>
  </si>
  <si>
    <t>Meals</t>
  </si>
  <si>
    <t>Conferences</t>
  </si>
  <si>
    <t>Total Travel &amp; Meetings</t>
  </si>
  <si>
    <t>Facilities</t>
  </si>
  <si>
    <t xml:space="preserve">Rent </t>
  </si>
  <si>
    <t>MBG Rent per contract</t>
  </si>
  <si>
    <t>Power &amp; Utilities</t>
  </si>
  <si>
    <t>MBG Support</t>
  </si>
  <si>
    <t>MBG per contract</t>
  </si>
  <si>
    <t>Total Facilities Expenses</t>
  </si>
  <si>
    <t>Infrastructure</t>
  </si>
  <si>
    <t>Web Hosting</t>
  </si>
  <si>
    <t>IT Support</t>
  </si>
  <si>
    <t>Total Infrastructure Expense</t>
  </si>
  <si>
    <t>Office</t>
  </si>
  <si>
    <t>Supplies</t>
  </si>
  <si>
    <t>Copying/Reproductions/Image Scanning</t>
  </si>
  <si>
    <t>Postage</t>
  </si>
  <si>
    <t>Equipment - Computer</t>
  </si>
  <si>
    <t>Equipment - Software</t>
  </si>
  <si>
    <t>Total Office Expenses</t>
  </si>
  <si>
    <t>Supplies, copying, postage, computer, software, etc</t>
  </si>
  <si>
    <t>Other</t>
  </si>
  <si>
    <t>Accounting Fees</t>
  </si>
  <si>
    <t>FY24/25 Budget (avg per month) + Less $9k audit costs covered by grant funds</t>
  </si>
  <si>
    <t>QBO Fees</t>
  </si>
  <si>
    <t>Legal Fees</t>
  </si>
  <si>
    <t>Advertising/Promotions</t>
  </si>
  <si>
    <t>Bank Charges</t>
  </si>
  <si>
    <t>Credit Card Fee</t>
  </si>
  <si>
    <t>Interest Paid</t>
  </si>
  <si>
    <t>Insurance</t>
  </si>
  <si>
    <t>NE Annual Meeting Cost</t>
  </si>
  <si>
    <t>NE Meeting/Field Trip</t>
  </si>
  <si>
    <t>Total Other Expenses</t>
  </si>
  <si>
    <t>Printing Costs</t>
  </si>
  <si>
    <t>FY25 Budget total x Percentage collected by month in FY24</t>
  </si>
  <si>
    <t>APC WAIVERS</t>
  </si>
  <si>
    <t>Per Beth, will not use in FY24</t>
  </si>
  <si>
    <t>Contract labor - Copy/Editing</t>
  </si>
  <si>
    <t>Editor-in-Chief Stipend</t>
  </si>
  <si>
    <t>Per contract with APPS and PSB EICs</t>
  </si>
  <si>
    <t>New contract starting in FY25 with C. Sinicalchi</t>
  </si>
  <si>
    <t>Total Publications Expense</t>
  </si>
  <si>
    <t>Development</t>
  </si>
  <si>
    <t>Professional Dues</t>
  </si>
  <si>
    <t>Awards - General</t>
  </si>
  <si>
    <t>FY25 Budget total</t>
  </si>
  <si>
    <t>1/2 awards paid in May, 2nd 1/2 paid in June</t>
  </si>
  <si>
    <t>Outreach</t>
  </si>
  <si>
    <t>Total Development Expenses</t>
  </si>
  <si>
    <t>Total Expenses</t>
  </si>
  <si>
    <t>Net Income (Loss)</t>
  </si>
  <si>
    <t>Beginning Bank Balance</t>
  </si>
  <si>
    <t>Less: Transfers to Investment Account</t>
  </si>
  <si>
    <t>Sending donations to Investment account at Morgan Stanley</t>
  </si>
  <si>
    <t>Estimated Ending Bank Balance</t>
  </si>
  <si>
    <t>ADDED FOR REFERENCE ONLY</t>
  </si>
  <si>
    <t>Forecasting Tool 2023 September</t>
  </si>
  <si>
    <t>Forecasting Tool 2024 April</t>
  </si>
  <si>
    <t>Forecasting Tool 2024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</si>
</sst>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"/>
    <numFmt numFmtId="165" formatCode="0.000%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12"/>
      <color theme="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name val="Calibri"/>
      <family val="2"/>
    </font>
    <font>
      <i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6" tint="0.39997558519241921"/>
        <bgColor rgb="FFAEABA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  <bgColor rgb="FFA5A5A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/>
    </xf>
    <xf numFmtId="43" fontId="6" fillId="2" borderId="0" xfId="0" applyNumberFormat="1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/>
    <xf numFmtId="43" fontId="6" fillId="3" borderId="0" xfId="0" applyNumberFormat="1" applyFont="1" applyFill="1" applyAlignment="1">
      <alignment horizontal="center"/>
    </xf>
    <xf numFmtId="0" fontId="9" fillId="4" borderId="0" xfId="0" applyFont="1" applyFill="1"/>
    <xf numFmtId="43" fontId="0" fillId="0" borderId="0" xfId="1" applyFont="1"/>
    <xf numFmtId="164" fontId="6" fillId="0" borderId="0" xfId="0" applyNumberFormat="1" applyFont="1" applyAlignment="1">
      <alignment horizontal="center"/>
    </xf>
    <xf numFmtId="0" fontId="11" fillId="5" borderId="0" xfId="0" applyFont="1" applyFill="1"/>
    <xf numFmtId="17" fontId="6" fillId="2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0" xfId="0"/>
    <xf numFmtId="0" fontId="11" fillId="5" borderId="0" xfId="0" applyFont="1" applyFill="1" applyAlignment="1">
      <alignment horizontal="center"/>
    </xf>
    <xf numFmtId="0" fontId="2" fillId="0" borderId="0" xfId="0" applyFont="1"/>
    <xf numFmtId="43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left"/>
    </xf>
    <xf numFmtId="43" fontId="6" fillId="2" borderId="0" xfId="0" applyNumberFormat="1" applyFont="1" applyFill="1"/>
    <xf numFmtId="43" fontId="6" fillId="7" borderId="1" xfId="0" applyNumberFormat="1" applyFont="1" applyFill="1" applyBorder="1"/>
    <xf numFmtId="0" fontId="6" fillId="8" borderId="0" xfId="0" applyFont="1" applyFill="1" applyAlignment="1">
      <alignment horizontal="left"/>
    </xf>
    <xf numFmtId="43" fontId="6" fillId="9" borderId="0" xfId="0" applyNumberFormat="1" applyFont="1" applyFill="1"/>
    <xf numFmtId="43" fontId="6" fillId="7" borderId="2" xfId="0" applyNumberFormat="1" applyFont="1" applyFill="1" applyBorder="1"/>
    <xf numFmtId="43" fontId="6" fillId="0" borderId="1" xfId="0" applyNumberFormat="1" applyFont="1" applyBorder="1"/>
    <xf numFmtId="0" fontId="6" fillId="5" borderId="1" xfId="0" applyFont="1" applyFill="1" applyBorder="1"/>
    <xf numFmtId="43" fontId="6" fillId="5" borderId="1" xfId="0" applyNumberFormat="1" applyFont="1" applyFill="1" applyBorder="1"/>
    <xf numFmtId="0" fontId="6" fillId="10" borderId="0" xfId="0" applyFont="1" applyFill="1" applyAlignment="1">
      <alignment horizontal="left"/>
    </xf>
    <xf numFmtId="43" fontId="6" fillId="11" borderId="0" xfId="0" applyNumberFormat="1" applyFont="1" applyFill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6" fillId="12" borderId="0" xfId="0" applyFont="1" applyFill="1"/>
    <xf numFmtId="0" fontId="11" fillId="5" borderId="1" xfId="0" applyFont="1" applyFill="1" applyBorder="1"/>
    <xf numFmtId="43" fontId="11" fillId="7" borderId="1" xfId="0" applyNumberFormat="1" applyFont="1" applyFill="1" applyBorder="1"/>
    <xf numFmtId="43" fontId="11" fillId="13" borderId="1" xfId="0" applyNumberFormat="1" applyFont="1" applyFill="1" applyBorder="1"/>
    <xf numFmtId="0" fontId="12" fillId="14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3" fillId="15" borderId="0" xfId="0" applyFont="1" applyFill="1" applyAlignment="1">
      <alignment horizontal="left"/>
    </xf>
    <xf numFmtId="164" fontId="11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0" applyNumberFormat="1" applyFont="1"/>
    <xf numFmtId="0" fontId="14" fillId="12" borderId="0" xfId="0" applyFont="1" applyFill="1"/>
    <xf numFmtId="0" fontId="15" fillId="16" borderId="1" xfId="0" applyFont="1" applyFill="1" applyBorder="1"/>
    <xf numFmtId="43" fontId="15" fillId="7" borderId="1" xfId="0" applyNumberFormat="1" applyFont="1" applyFill="1" applyBorder="1"/>
    <xf numFmtId="0" fontId="15" fillId="0" borderId="0" xfId="0" applyFont="1"/>
    <xf numFmtId="43" fontId="15" fillId="0" borderId="0" xfId="0" applyNumberFormat="1" applyFont="1"/>
    <xf numFmtId="0" fontId="1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eathercacanindin/Library/Containers/com.microsoft.Outlook/Data/tmp/Outlook%20Temp/3.20.25%20BSA%20Budget%20Forecasting%20Tool%20January%202025.xlsx" TargetMode="External"/><Relationship Id="rId1" Type="http://schemas.openxmlformats.org/officeDocument/2006/relationships/externalLinkPath" Target="/Users/heathercacanindin/Library/Containers/com.microsoft.Outlook/Data/tmp/Outlook%20Temp/3.20.25%20BSA%20Budget%20Forecasting%20Tool%20Jan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ecasting 12 months"/>
      <sheetName val="Last fiscal year P&amp;L by month"/>
      <sheetName val="FY25 Budget Consolidate"/>
      <sheetName val="Overhead Details "/>
      <sheetName val="Morgan Stanley Checks"/>
      <sheetName val="Payroll Expense"/>
    </sheetNames>
    <sheetDataSet>
      <sheetData sheetId="0"/>
      <sheetData sheetId="1">
        <row r="12">
          <cell r="C12">
            <v>0.13941079714893218</v>
          </cell>
          <cell r="D12">
            <v>9.9047415272558698E-2</v>
          </cell>
          <cell r="E12">
            <v>7.6313760101989411E-2</v>
          </cell>
          <cell r="F12">
            <v>3.383302798914134E-2</v>
          </cell>
          <cell r="G12">
            <v>3.0891025555302959E-2</v>
          </cell>
          <cell r="H12">
            <v>1.863268208097639E-2</v>
          </cell>
          <cell r="I12">
            <v>2.3536019470707017E-2</v>
          </cell>
          <cell r="J12">
            <v>2.2377048814952505E-2</v>
          </cell>
          <cell r="K12">
            <v>0.13091910830580777</v>
          </cell>
          <cell r="L12">
            <v>9.1264481561222618E-2</v>
          </cell>
          <cell r="M12">
            <v>0.16261249816124848</v>
          </cell>
          <cell r="N12">
            <v>0.17116213553716061</v>
          </cell>
        </row>
        <row r="16">
          <cell r="C16">
            <v>0.10632768361581921</v>
          </cell>
          <cell r="D16">
            <v>7.4237288135593216E-2</v>
          </cell>
          <cell r="E16">
            <v>4.5310734463276839E-2</v>
          </cell>
          <cell r="F16">
            <v>4.1807909604519772E-2</v>
          </cell>
          <cell r="G16">
            <v>4.0677966101694912E-2</v>
          </cell>
          <cell r="H16">
            <v>7.6836158192090396E-3</v>
          </cell>
          <cell r="I16">
            <v>3.9548022598870055E-3</v>
          </cell>
          <cell r="J16">
            <v>1.2090395480225989E-2</v>
          </cell>
          <cell r="K16">
            <v>0.16361581920903956</v>
          </cell>
          <cell r="L16">
            <v>0.12598870056497175</v>
          </cell>
          <cell r="M16">
            <v>0.19898305084745763</v>
          </cell>
          <cell r="N16">
            <v>0.17932203389830509</v>
          </cell>
        </row>
        <row r="19">
          <cell r="C19">
            <v>2.9515825352500126E-3</v>
          </cell>
          <cell r="D19">
            <v>2.2136869014375096E-3</v>
          </cell>
          <cell r="E19">
            <v>0</v>
          </cell>
          <cell r="F19">
            <v>1.3282121408625057E-2</v>
          </cell>
          <cell r="G19">
            <v>0.16233703943875069</v>
          </cell>
          <cell r="H19">
            <v>0.16233703943875069</v>
          </cell>
          <cell r="I19">
            <v>0.38547667910365163</v>
          </cell>
          <cell r="J19">
            <v>2.9515825352500125E-2</v>
          </cell>
          <cell r="K19">
            <v>1.9923182112937584E-2</v>
          </cell>
          <cell r="L19">
            <v>2.0661077746750089E-2</v>
          </cell>
          <cell r="M19">
            <v>0.11230771546626298</v>
          </cell>
          <cell r="N19">
            <v>8.8994050495083701E-2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0.20738282870178348</v>
          </cell>
          <cell r="G21">
            <v>0.36748237245956034</v>
          </cell>
          <cell r="H21">
            <v>0</v>
          </cell>
          <cell r="I21">
            <v>0</v>
          </cell>
          <cell r="J21">
            <v>0</v>
          </cell>
          <cell r="K21">
            <v>0.13479883865615927</v>
          </cell>
          <cell r="L21">
            <v>4.14765657403567E-2</v>
          </cell>
          <cell r="M21">
            <v>0.2488593944421402</v>
          </cell>
          <cell r="N21">
            <v>0</v>
          </cell>
        </row>
        <row r="25">
          <cell r="C25">
            <v>1.5079713310327853E-2</v>
          </cell>
          <cell r="D25">
            <v>9.7288472969857124E-4</v>
          </cell>
          <cell r="E25">
            <v>5.3995102498270699E-2</v>
          </cell>
          <cell r="F25">
            <v>4.8644236484928563E-3</v>
          </cell>
          <cell r="G25">
            <v>2.9186541890957135E-4</v>
          </cell>
          <cell r="H25">
            <v>9.7288472969857126E-2</v>
          </cell>
          <cell r="I25">
            <v>0</v>
          </cell>
          <cell r="J25">
            <v>4.8644236484928563E-2</v>
          </cell>
          <cell r="K25">
            <v>0.29060066876096324</v>
          </cell>
          <cell r="L25">
            <v>3.181333066114328E-2</v>
          </cell>
          <cell r="M25">
            <v>0.17837938807496273</v>
          </cell>
          <cell r="N25">
            <v>0.27806991344244558</v>
          </cell>
        </row>
        <row r="27">
          <cell r="C27">
            <v>7.1812769746716363E-3</v>
          </cell>
          <cell r="D27">
            <v>1.2926298554408945E-2</v>
          </cell>
          <cell r="E27">
            <v>2.010757552908058E-2</v>
          </cell>
          <cell r="F27">
            <v>2.4416341713883561E-2</v>
          </cell>
          <cell r="G27">
            <v>1.4362553949343272E-3</v>
          </cell>
          <cell r="H27">
            <v>1.4362553949343272E-3</v>
          </cell>
          <cell r="I27">
            <v>6.9737380701036258E-2</v>
          </cell>
          <cell r="J27">
            <v>0</v>
          </cell>
          <cell r="K27">
            <v>9.0053213262382317E-2</v>
          </cell>
          <cell r="L27">
            <v>2.9443235596153708E-2</v>
          </cell>
          <cell r="M27">
            <v>0.69083884496341141</v>
          </cell>
          <cell r="N27">
            <v>5.242332191510294E-2</v>
          </cell>
        </row>
        <row r="89">
          <cell r="C89">
            <v>4.3053758974081917E-2</v>
          </cell>
          <cell r="D89">
            <v>7.807793012913085E-3</v>
          </cell>
          <cell r="E89">
            <v>9.1087963708136703E-3</v>
          </cell>
          <cell r="F89">
            <v>3.5958004735043847E-2</v>
          </cell>
          <cell r="G89">
            <v>0.223655661743979</v>
          </cell>
          <cell r="H89">
            <v>0.13943755188547513</v>
          </cell>
          <cell r="I89">
            <v>0.48939616480669745</v>
          </cell>
          <cell r="J89">
            <v>1.1774253010115691E-2</v>
          </cell>
          <cell r="K89">
            <v>1.0207133208355645E-2</v>
          </cell>
          <cell r="L89">
            <v>-0.15103703767983037</v>
          </cell>
          <cell r="M89">
            <v>0.29877467933761637</v>
          </cell>
          <cell r="N89">
            <v>-0.11813675940526146</v>
          </cell>
        </row>
        <row r="109">
          <cell r="C109">
            <v>0.51947713779814597</v>
          </cell>
          <cell r="D109">
            <v>0.26937298198104365</v>
          </cell>
          <cell r="E109">
            <v>2.7340901989376106E-2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0.12912717425268203</v>
          </cell>
          <cell r="K109">
            <v>0</v>
          </cell>
          <cell r="L109">
            <v>0</v>
          </cell>
          <cell r="M109">
            <v>0</v>
          </cell>
          <cell r="N109">
            <v>5.4681803978752212E-2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0.569830070233314</v>
          </cell>
          <cell r="H120">
            <v>0</v>
          </cell>
          <cell r="I120">
            <v>0</v>
          </cell>
          <cell r="J120">
            <v>0</v>
          </cell>
          <cell r="K120">
            <v>0.43016992976668605</v>
          </cell>
          <cell r="L120">
            <v>0</v>
          </cell>
          <cell r="M120">
            <v>0</v>
          </cell>
          <cell r="N120">
            <v>0</v>
          </cell>
        </row>
        <row r="123">
          <cell r="C123">
            <v>9.2446629438640557E-2</v>
          </cell>
          <cell r="D123">
            <v>5.472876087672892E-2</v>
          </cell>
          <cell r="E123">
            <v>0.12936293762969692</v>
          </cell>
          <cell r="F123">
            <v>6.9869345659550594E-2</v>
          </cell>
          <cell r="G123">
            <v>9.7745834112628133E-2</v>
          </cell>
          <cell r="H123">
            <v>0.12039436770246079</v>
          </cell>
          <cell r="I123">
            <v>0.15106295811401751</v>
          </cell>
          <cell r="J123">
            <v>5.5574852379298365E-2</v>
          </cell>
          <cell r="K123">
            <v>9.623177563434597E-2</v>
          </cell>
          <cell r="L123">
            <v>8.7183049670024312E-2</v>
          </cell>
          <cell r="M123">
            <v>2.6295633277224107E-2</v>
          </cell>
          <cell r="N123">
            <v>1.9103855505383814E-2</v>
          </cell>
        </row>
      </sheetData>
      <sheetData sheetId="2">
        <row r="14">
          <cell r="AJ14">
            <v>137500</v>
          </cell>
        </row>
        <row r="17">
          <cell r="AJ17">
            <v>8000</v>
          </cell>
        </row>
        <row r="22">
          <cell r="AJ22">
            <v>22000</v>
          </cell>
        </row>
        <row r="23">
          <cell r="AJ23">
            <v>3000</v>
          </cell>
        </row>
        <row r="25">
          <cell r="AJ25">
            <v>22000</v>
          </cell>
        </row>
        <row r="26">
          <cell r="AJ26">
            <v>10000</v>
          </cell>
        </row>
        <row r="88">
          <cell r="AJ88">
            <v>3000</v>
          </cell>
        </row>
        <row r="128">
          <cell r="AJ128">
            <v>3000</v>
          </cell>
        </row>
        <row r="152">
          <cell r="AJ152">
            <v>93855</v>
          </cell>
        </row>
        <row r="164">
          <cell r="AJ164">
            <v>2000</v>
          </cell>
        </row>
        <row r="177">
          <cell r="AJ177">
            <v>6000</v>
          </cell>
        </row>
        <row r="178">
          <cell r="AJ178">
            <v>13000</v>
          </cell>
        </row>
        <row r="181">
          <cell r="AJ181">
            <v>3000</v>
          </cell>
        </row>
        <row r="185">
          <cell r="AJ185">
            <v>1000</v>
          </cell>
        </row>
        <row r="186">
          <cell r="AJ186">
            <v>1200</v>
          </cell>
        </row>
        <row r="190">
          <cell r="AJ190">
            <v>3000</v>
          </cell>
        </row>
        <row r="191">
          <cell r="AJ191">
            <v>3600</v>
          </cell>
        </row>
        <row r="203">
          <cell r="AJ203">
            <v>36000</v>
          </cell>
        </row>
        <row r="204">
          <cell r="AJ204">
            <v>2300</v>
          </cell>
        </row>
        <row r="205">
          <cell r="AJ205">
            <v>500</v>
          </cell>
        </row>
        <row r="207">
          <cell r="AJ207">
            <v>1200</v>
          </cell>
        </row>
        <row r="209">
          <cell r="AJ209">
            <v>1000</v>
          </cell>
        </row>
        <row r="210">
          <cell r="AJ210">
            <v>5800</v>
          </cell>
        </row>
        <row r="213">
          <cell r="AJ213">
            <v>7800</v>
          </cell>
        </row>
        <row r="220">
          <cell r="AF220">
            <v>9500</v>
          </cell>
          <cell r="AJ220">
            <v>4500</v>
          </cell>
        </row>
        <row r="222">
          <cell r="AJ222">
            <v>4000</v>
          </cell>
        </row>
        <row r="228">
          <cell r="AJ228">
            <v>50000</v>
          </cell>
        </row>
        <row r="235">
          <cell r="AJ235">
            <v>3800</v>
          </cell>
        </row>
        <row r="237">
          <cell r="AJ237">
            <v>103000</v>
          </cell>
        </row>
        <row r="239">
          <cell r="AJ239">
            <v>1000</v>
          </cell>
        </row>
      </sheetData>
      <sheetData sheetId="3">
        <row r="8">
          <cell r="B8">
            <v>5195.7749999999996</v>
          </cell>
          <cell r="C8">
            <v>5195.7749999999996</v>
          </cell>
          <cell r="D8">
            <v>5195.7749999999996</v>
          </cell>
          <cell r="E8">
            <v>5195.7749999999996</v>
          </cell>
          <cell r="F8">
            <v>5195.7749999999996</v>
          </cell>
          <cell r="G8">
            <v>5195.7749999999996</v>
          </cell>
          <cell r="H8">
            <v>5195.7749999999996</v>
          </cell>
          <cell r="I8">
            <v>1278.5250000000001</v>
          </cell>
          <cell r="J8">
            <v>1278.5250000000001</v>
          </cell>
          <cell r="K8">
            <v>1289.1624999999999</v>
          </cell>
          <cell r="L8">
            <v>1289.1624999999999</v>
          </cell>
          <cell r="M8">
            <v>1289.1624999999999</v>
          </cell>
        </row>
      </sheetData>
      <sheetData sheetId="4">
        <row r="3">
          <cell r="H3">
            <v>7825.33</v>
          </cell>
        </row>
        <row r="4">
          <cell r="H4">
            <v>12809.51</v>
          </cell>
        </row>
        <row r="5">
          <cell r="H5">
            <v>2447</v>
          </cell>
        </row>
        <row r="6">
          <cell r="H6">
            <v>6062</v>
          </cell>
        </row>
        <row r="7">
          <cell r="H7">
            <v>1607</v>
          </cell>
        </row>
        <row r="8">
          <cell r="H8">
            <v>13580.55</v>
          </cell>
        </row>
        <row r="9">
          <cell r="H9">
            <v>6578</v>
          </cell>
        </row>
        <row r="10">
          <cell r="H10">
            <v>6759</v>
          </cell>
        </row>
        <row r="11">
          <cell r="H11">
            <v>1540</v>
          </cell>
        </row>
        <row r="12">
          <cell r="H12">
            <v>596</v>
          </cell>
        </row>
        <row r="13">
          <cell r="H13">
            <v>832</v>
          </cell>
        </row>
        <row r="14">
          <cell r="H14">
            <v>1246</v>
          </cell>
        </row>
      </sheetData>
      <sheetData sheetId="5">
        <row r="30">
          <cell r="B30">
            <v>56914.662773000004</v>
          </cell>
          <cell r="C30">
            <v>56652.956028460001</v>
          </cell>
          <cell r="D30">
            <v>56652.956028460001</v>
          </cell>
          <cell r="E30">
            <v>56652.956028460001</v>
          </cell>
          <cell r="F30">
            <v>56652.956028460001</v>
          </cell>
          <cell r="G30">
            <v>56652.956028460001</v>
          </cell>
          <cell r="H30">
            <v>84979.434042690002</v>
          </cell>
          <cell r="I30">
            <v>56652.956028460001</v>
          </cell>
          <cell r="J30">
            <v>56252.544709313799</v>
          </cell>
          <cell r="K30">
            <v>56252.544709313799</v>
          </cell>
          <cell r="L30">
            <v>56252.544709313799</v>
          </cell>
          <cell r="M30">
            <v>84378.817063970695</v>
          </cell>
          <cell r="N30">
            <v>62252.544709313799</v>
          </cell>
          <cell r="O30">
            <v>62252.544709313799</v>
          </cell>
          <cell r="P30">
            <v>62252.544709313799</v>
          </cell>
          <cell r="Q30">
            <v>62252.544709313799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7001-3FAF-EB48-8E3A-B451511D6DD9}">
  <dimension ref="A1:W140"/>
  <sheetViews>
    <sheetView tabSelected="1" workbookViewId="0">
      <selection activeCell="S111" sqref="S111"/>
    </sheetView>
  </sheetViews>
  <sheetFormatPr baseColWidth="10" defaultColWidth="11.1640625" defaultRowHeight="16" x14ac:dyDescent="0.2"/>
  <cols>
    <col min="1" max="1" width="8.33203125" customWidth="1"/>
    <col min="2" max="2" width="38.1640625" customWidth="1"/>
    <col min="3" max="4" width="13.6640625" bestFit="1" customWidth="1"/>
    <col min="5" max="9" width="13.1640625" customWidth="1"/>
    <col min="10" max="10" width="13.6640625" bestFit="1" customWidth="1"/>
    <col min="11" max="13" width="13.1640625" customWidth="1"/>
    <col min="14" max="14" width="13" bestFit="1" customWidth="1"/>
    <col min="15" max="15" width="12.83203125" bestFit="1" customWidth="1"/>
    <col min="16" max="16" width="13.1640625" bestFit="1" customWidth="1"/>
    <col min="17" max="17" width="12.33203125" bestFit="1" customWidth="1"/>
    <col min="18" max="18" width="12.83203125" bestFit="1" customWidth="1"/>
    <col min="19" max="19" width="13.6640625" bestFit="1" customWidth="1"/>
    <col min="20" max="20" width="95.83203125" bestFit="1" customWidth="1"/>
    <col min="21" max="21" width="98.6640625" bestFit="1" customWidth="1"/>
    <col min="22" max="30" width="10.5" customWidth="1"/>
  </cols>
  <sheetData>
    <row r="1" spans="1:23" ht="22" x14ac:dyDescent="0.3">
      <c r="B1" s="1" t="s">
        <v>0</v>
      </c>
      <c r="M1" s="2"/>
      <c r="N1" s="3"/>
      <c r="O1" s="2"/>
      <c r="P1" s="4"/>
      <c r="S1" s="5"/>
      <c r="T1" s="5"/>
    </row>
    <row r="2" spans="1:23" x14ac:dyDescent="0.2">
      <c r="E2" s="6" t="s">
        <v>1</v>
      </c>
      <c r="F2" s="7">
        <v>544537.11</v>
      </c>
      <c r="G2" s="8"/>
      <c r="H2" s="9" t="s">
        <v>2</v>
      </c>
      <c r="M2" s="2"/>
      <c r="N2" s="4"/>
      <c r="O2" s="2"/>
      <c r="P2" s="4"/>
      <c r="S2" s="5"/>
      <c r="T2" s="5"/>
    </row>
    <row r="3" spans="1:23" x14ac:dyDescent="0.2">
      <c r="E3" s="6" t="s">
        <v>3</v>
      </c>
      <c r="F3" s="7">
        <v>214231.53</v>
      </c>
      <c r="G3" s="8"/>
      <c r="H3" s="9" t="s">
        <v>2</v>
      </c>
      <c r="M3" s="2"/>
      <c r="N3" s="3"/>
      <c r="O3" s="2"/>
      <c r="P3" s="3"/>
      <c r="R3" s="10"/>
      <c r="S3" s="5"/>
      <c r="T3" s="5"/>
    </row>
    <row r="4" spans="1:23" x14ac:dyDescent="0.2">
      <c r="E4" s="6" t="s">
        <v>4</v>
      </c>
      <c r="F4" s="7">
        <v>-132049.35999999999</v>
      </c>
      <c r="G4" s="8"/>
      <c r="H4" s="9" t="s">
        <v>5</v>
      </c>
      <c r="M4" s="2"/>
      <c r="N4" s="3"/>
      <c r="O4" s="2"/>
      <c r="P4" s="3"/>
      <c r="S4" s="5"/>
      <c r="T4" s="5"/>
    </row>
    <row r="5" spans="1:23" x14ac:dyDescent="0.2">
      <c r="E5" s="6" t="s">
        <v>6</v>
      </c>
      <c r="F5" s="7">
        <f>1630.29+1421.88+13524.6+62387.07+4312.5</f>
        <v>83276.34</v>
      </c>
      <c r="G5" s="8"/>
      <c r="H5" s="9" t="s">
        <v>7</v>
      </c>
      <c r="M5" s="2"/>
      <c r="N5" s="3"/>
      <c r="O5" s="2"/>
      <c r="P5" s="2"/>
    </row>
    <row r="6" spans="1:23" x14ac:dyDescent="0.2">
      <c r="E6" s="6" t="s">
        <v>8</v>
      </c>
      <c r="F6" s="11">
        <f>SUM(F2:G5)</f>
        <v>709995.62</v>
      </c>
      <c r="G6" s="12"/>
      <c r="N6" s="13"/>
    </row>
    <row r="9" spans="1:23" x14ac:dyDescent="0.2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23" x14ac:dyDescent="0.2">
      <c r="B10" s="15" t="s">
        <v>9</v>
      </c>
      <c r="C10" s="16">
        <v>45689</v>
      </c>
      <c r="D10" s="14">
        <f t="shared" ref="D10:M10" si="0">C10+31</f>
        <v>45720</v>
      </c>
      <c r="E10" s="14">
        <f t="shared" si="0"/>
        <v>45751</v>
      </c>
      <c r="F10" s="14">
        <f t="shared" si="0"/>
        <v>45782</v>
      </c>
      <c r="G10" s="14">
        <f t="shared" si="0"/>
        <v>45813</v>
      </c>
      <c r="H10" s="14">
        <f t="shared" si="0"/>
        <v>45844</v>
      </c>
      <c r="I10" s="14">
        <f t="shared" si="0"/>
        <v>45875</v>
      </c>
      <c r="J10" s="14">
        <f t="shared" si="0"/>
        <v>45906</v>
      </c>
      <c r="K10" s="14">
        <f t="shared" si="0"/>
        <v>45937</v>
      </c>
      <c r="L10" s="14">
        <f t="shared" si="0"/>
        <v>45968</v>
      </c>
      <c r="M10" s="14">
        <f t="shared" si="0"/>
        <v>45999</v>
      </c>
      <c r="N10" s="14">
        <f>M10+31</f>
        <v>46030</v>
      </c>
      <c r="O10" s="17">
        <f t="shared" ref="O10:R10" si="1">N10+31</f>
        <v>46061</v>
      </c>
      <c r="P10" s="17">
        <f t="shared" si="1"/>
        <v>46092</v>
      </c>
      <c r="Q10" s="17">
        <f t="shared" si="1"/>
        <v>46123</v>
      </c>
      <c r="R10" s="17">
        <f t="shared" si="1"/>
        <v>46154</v>
      </c>
      <c r="S10" s="18" t="s">
        <v>10</v>
      </c>
      <c r="T10" s="18" t="s">
        <v>11</v>
      </c>
      <c r="U10" s="19" t="s">
        <v>12</v>
      </c>
    </row>
    <row r="11" spans="1:23" x14ac:dyDescent="0.2">
      <c r="C11" s="20" t="s">
        <v>13</v>
      </c>
      <c r="D11" s="20" t="s">
        <v>14</v>
      </c>
      <c r="E11" s="20" t="s">
        <v>15</v>
      </c>
      <c r="F11" s="20" t="s">
        <v>16</v>
      </c>
      <c r="G11" s="20" t="s">
        <v>17</v>
      </c>
      <c r="H11" s="20" t="s">
        <v>18</v>
      </c>
      <c r="I11" s="20" t="s">
        <v>19</v>
      </c>
      <c r="J11" s="20" t="s">
        <v>20</v>
      </c>
      <c r="K11" s="20" t="s">
        <v>21</v>
      </c>
      <c r="L11" s="20" t="s">
        <v>22</v>
      </c>
      <c r="M11" s="20" t="s">
        <v>23</v>
      </c>
      <c r="N11" s="20" t="s">
        <v>24</v>
      </c>
      <c r="O11" s="21" t="s">
        <v>25</v>
      </c>
      <c r="P11" s="21" t="s">
        <v>26</v>
      </c>
      <c r="Q11" s="21" t="s">
        <v>27</v>
      </c>
      <c r="R11" s="21" t="s">
        <v>28</v>
      </c>
      <c r="S11" s="22"/>
      <c r="T11" s="22"/>
      <c r="U11" s="22"/>
    </row>
    <row r="12" spans="1:23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3" x14ac:dyDescent="0.2">
      <c r="A13" s="23" t="s">
        <v>29</v>
      </c>
      <c r="B13" s="12"/>
    </row>
    <row r="14" spans="1:23" x14ac:dyDescent="0.2">
      <c r="A14" s="24" t="s">
        <v>30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</row>
    <row r="15" spans="1:23" x14ac:dyDescent="0.2">
      <c r="B15" s="10" t="s">
        <v>31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3" x14ac:dyDescent="0.2">
      <c r="B16" s="27" t="s">
        <v>32</v>
      </c>
      <c r="C16" s="28">
        <f>'[1]FY25 Budget Consolidate'!$AJ$14*'[1]Last fiscal year P&amp;L by month'!C12</f>
        <v>19168.984607978175</v>
      </c>
      <c r="D16" s="28">
        <f>'[1]FY25 Budget Consolidate'!$AJ$14*'[1]Last fiscal year P&amp;L by month'!D12</f>
        <v>13619.01959997682</v>
      </c>
      <c r="E16" s="28">
        <f>'[1]FY25 Budget Consolidate'!$AJ$14*'[1]Last fiscal year P&amp;L by month'!E12</f>
        <v>10493.142014023544</v>
      </c>
      <c r="F16" s="28">
        <f>'[1]FY25 Budget Consolidate'!$AJ$14*'[1]Last fiscal year P&amp;L by month'!F12</f>
        <v>4652.0413485069339</v>
      </c>
      <c r="G16" s="28">
        <f>'[1]FY25 Budget Consolidate'!$AJ$14*'[1]Last fiscal year P&amp;L by month'!G12</f>
        <v>4247.5160138541569</v>
      </c>
      <c r="H16" s="28">
        <f>'[1]FY25 Budget Consolidate'!$AJ$14*'[1]Last fiscal year P&amp;L by month'!H12</f>
        <v>2561.9937861342537</v>
      </c>
      <c r="I16" s="28">
        <f>'[1]FY25 Budget Consolidate'!$AJ$14*'[1]Last fiscal year P&amp;L by month'!I12</f>
        <v>3236.2026772222148</v>
      </c>
      <c r="J16" s="28">
        <f>'[1]FY25 Budget Consolidate'!$AJ$14*'[1]Last fiscal year P&amp;L by month'!J12</f>
        <v>3076.8442120559694</v>
      </c>
      <c r="K16" s="28">
        <f>'[1]FY25 Budget Consolidate'!$AJ$14*'[1]Last fiscal year P&amp;L by month'!K12</f>
        <v>18001.377392048569</v>
      </c>
      <c r="L16" s="28">
        <f>'[1]FY25 Budget Consolidate'!$AJ$14*'[1]Last fiscal year P&amp;L by month'!L12</f>
        <v>12548.866214668111</v>
      </c>
      <c r="M16" s="28">
        <f>'[1]FY25 Budget Consolidate'!$AJ$14*'[1]Last fiscal year P&amp;L by month'!M12</f>
        <v>22359.218497171667</v>
      </c>
      <c r="N16" s="28">
        <f>'[1]FY25 Budget Consolidate'!$AJ$14*'[1]Last fiscal year P&amp;L by month'!N12</f>
        <v>23534.793636359584</v>
      </c>
      <c r="O16" s="28">
        <f>'[1]FY25 Budget Consolidate'!$AJ$14*'[1]Last fiscal year P&amp;L by month'!C12</f>
        <v>19168.984607978175</v>
      </c>
      <c r="P16" s="28">
        <f>'[1]FY25 Budget Consolidate'!$AJ$14*'[1]Last fiscal year P&amp;L by month'!D12</f>
        <v>13619.01959997682</v>
      </c>
      <c r="Q16" s="28">
        <f>'[1]FY25 Budget Consolidate'!$AJ$14*'[1]Last fiscal year P&amp;L by month'!E12</f>
        <v>10493.142014023544</v>
      </c>
      <c r="R16" s="28">
        <f>'[1]FY25 Budget Consolidate'!$AJ$14*'[1]Last fiscal year P&amp;L by month'!F12</f>
        <v>4652.0413485069339</v>
      </c>
      <c r="S16" s="25"/>
      <c r="T16" s="25" t="s">
        <v>33</v>
      </c>
      <c r="U16" s="25"/>
      <c r="V16" s="25"/>
    </row>
    <row r="17" spans="2:22" x14ac:dyDescent="0.2">
      <c r="B17" s="27" t="s">
        <v>34</v>
      </c>
      <c r="C17" s="28">
        <f>'[1]FY25 Budget Consolidate'!$AJ$17*'[1]Last fiscal year P&amp;L by month'!C16</f>
        <v>850.62146892655369</v>
      </c>
      <c r="D17" s="28">
        <f>'[1]FY25 Budget Consolidate'!$AJ$17*'[1]Last fiscal year P&amp;L by month'!D16</f>
        <v>593.89830508474574</v>
      </c>
      <c r="E17" s="28">
        <f>'[1]FY25 Budget Consolidate'!$AJ$17*'[1]Last fiscal year P&amp;L by month'!E16</f>
        <v>362.4858757062147</v>
      </c>
      <c r="F17" s="28">
        <f>'[1]FY25 Budget Consolidate'!$AJ$17*'[1]Last fiscal year P&amp;L by month'!F16</f>
        <v>334.46327683615817</v>
      </c>
      <c r="G17" s="28">
        <f>'[1]FY25 Budget Consolidate'!$AJ$17*'[1]Last fiscal year P&amp;L by month'!G16</f>
        <v>325.42372881355931</v>
      </c>
      <c r="H17" s="28">
        <f>'[1]FY25 Budget Consolidate'!$AJ$17*'[1]Last fiscal year P&amp;L by month'!H16</f>
        <v>61.468926553672318</v>
      </c>
      <c r="I17" s="28">
        <f>'[1]FY25 Budget Consolidate'!$AJ$17*'[1]Last fiscal year P&amp;L by month'!I16</f>
        <v>31.638418079096045</v>
      </c>
      <c r="J17" s="28">
        <f>'[1]FY25 Budget Consolidate'!$AJ$17*'[1]Last fiscal year P&amp;L by month'!J16</f>
        <v>96.723163841807917</v>
      </c>
      <c r="K17" s="28">
        <f>'[1]FY25 Budget Consolidate'!$AJ$17*'[1]Last fiscal year P&amp;L by month'!K16</f>
        <v>1308.9265536723165</v>
      </c>
      <c r="L17" s="28">
        <f>'[1]FY25 Budget Consolidate'!$AJ$17*'[1]Last fiscal year P&amp;L by month'!L16</f>
        <v>1007.909604519774</v>
      </c>
      <c r="M17" s="28">
        <f>'[1]FY25 Budget Consolidate'!$AJ$17*'[1]Last fiscal year P&amp;L by month'!M16</f>
        <v>1591.8644067796611</v>
      </c>
      <c r="N17" s="28">
        <f>'[1]FY25 Budget Consolidate'!$AJ$17*'[1]Last fiscal year P&amp;L by month'!N16</f>
        <v>1434.5762711864406</v>
      </c>
      <c r="O17" s="28">
        <f>'[1]FY25 Budget Consolidate'!$AJ$17*'[1]Last fiscal year P&amp;L by month'!C16</f>
        <v>850.62146892655369</v>
      </c>
      <c r="P17" s="28">
        <f>'[1]FY25 Budget Consolidate'!$AJ$17*'[1]Last fiscal year P&amp;L by month'!D16</f>
        <v>593.89830508474574</v>
      </c>
      <c r="Q17" s="28">
        <f>'[1]FY25 Budget Consolidate'!$AJ$17*'[1]Last fiscal year P&amp;L by month'!E16</f>
        <v>362.4858757062147</v>
      </c>
      <c r="R17" s="28">
        <f>'[1]FY25 Budget Consolidate'!$AJ$17*'[1]Last fiscal year P&amp;L by month'!F16</f>
        <v>334.46327683615817</v>
      </c>
      <c r="S17" s="25"/>
      <c r="T17" s="25" t="s">
        <v>33</v>
      </c>
      <c r="U17" s="25"/>
      <c r="V17" s="25"/>
    </row>
    <row r="18" spans="2:22" x14ac:dyDescent="0.2">
      <c r="B18" s="27" t="s">
        <v>35</v>
      </c>
      <c r="C18" s="29">
        <f>SUM(C15:C17)</f>
        <v>20019.606076904729</v>
      </c>
      <c r="D18" s="29">
        <f t="shared" ref="D18:R18" si="2">SUM(D15:D17)</f>
        <v>14212.917905061566</v>
      </c>
      <c r="E18" s="29">
        <f t="shared" si="2"/>
        <v>10855.627889729758</v>
      </c>
      <c r="F18" s="29">
        <f t="shared" si="2"/>
        <v>4986.5046253430919</v>
      </c>
      <c r="G18" s="29">
        <f t="shared" si="2"/>
        <v>4572.939742667716</v>
      </c>
      <c r="H18" s="29">
        <f t="shared" si="2"/>
        <v>2623.4627126879259</v>
      </c>
      <c r="I18" s="29">
        <f t="shared" si="2"/>
        <v>3267.8410953013108</v>
      </c>
      <c r="J18" s="29">
        <f t="shared" si="2"/>
        <v>3173.5673758977773</v>
      </c>
      <c r="K18" s="29">
        <f t="shared" si="2"/>
        <v>19310.303945720887</v>
      </c>
      <c r="L18" s="29">
        <f t="shared" si="2"/>
        <v>13556.775819187886</v>
      </c>
      <c r="M18" s="29">
        <f t="shared" si="2"/>
        <v>23951.082903951326</v>
      </c>
      <c r="N18" s="29">
        <f t="shared" si="2"/>
        <v>24969.369907546024</v>
      </c>
      <c r="O18" s="29">
        <f t="shared" si="2"/>
        <v>20019.606076904729</v>
      </c>
      <c r="P18" s="29">
        <f t="shared" si="2"/>
        <v>14212.917905061566</v>
      </c>
      <c r="Q18" s="29">
        <f t="shared" si="2"/>
        <v>10855.627889729758</v>
      </c>
      <c r="R18" s="29">
        <f t="shared" si="2"/>
        <v>4986.5046253430919</v>
      </c>
      <c r="S18" s="29">
        <f>SUM(C18:N18)</f>
        <v>145500</v>
      </c>
      <c r="T18" s="25"/>
      <c r="U18" s="25"/>
      <c r="V18" s="25"/>
    </row>
    <row r="19" spans="2:22" x14ac:dyDescent="0.2">
      <c r="B19" s="10" t="s">
        <v>36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2:22" x14ac:dyDescent="0.2">
      <c r="B20" s="27" t="s">
        <v>37</v>
      </c>
      <c r="C20" s="28">
        <f>'[1]FY25 Budget Consolidate'!$AJ$22*'[1]Last fiscal year P&amp;L by month'!C19</f>
        <v>64.934815775500283</v>
      </c>
      <c r="D20" s="28">
        <f>'[1]FY25 Budget Consolidate'!$AJ$22*'[1]Last fiscal year P&amp;L by month'!D19</f>
        <v>48.701111831625212</v>
      </c>
      <c r="E20" s="28">
        <f>'[1]FY25 Budget Consolidate'!$AJ$22*'[1]Last fiscal year P&amp;L by month'!E19</f>
        <v>0</v>
      </c>
      <c r="F20" s="28">
        <f>'[1]FY25 Budget Consolidate'!$AJ$22*'[1]Last fiscal year P&amp;L by month'!F19</f>
        <v>292.20667098975122</v>
      </c>
      <c r="G20" s="28">
        <f>'[1]FY25 Budget Consolidate'!$AJ$22*'[1]Last fiscal year P&amp;L by month'!G19</f>
        <v>3571.4148676525151</v>
      </c>
      <c r="H20" s="28">
        <f>'[1]FY25 Budget Consolidate'!$AJ$22*'[1]Last fiscal year P&amp;L by month'!H19</f>
        <v>3571.4148676525151</v>
      </c>
      <c r="I20" s="28">
        <f>'[1]FY25 Budget Consolidate'!$AJ$22*'[1]Last fiscal year P&amp;L by month'!I19</f>
        <v>8480.4869402803361</v>
      </c>
      <c r="J20" s="28">
        <f>'[1]FY25 Budget Consolidate'!$AJ$22*'[1]Last fiscal year P&amp;L by month'!J19</f>
        <v>649.34815775500272</v>
      </c>
      <c r="K20" s="28">
        <f>'[1]FY25 Budget Consolidate'!$AJ$22*'[1]Last fiscal year P&amp;L by month'!K19</f>
        <v>438.31000648462685</v>
      </c>
      <c r="L20" s="28">
        <f>'[1]FY25 Budget Consolidate'!$AJ$22*'[1]Last fiscal year P&amp;L by month'!L19</f>
        <v>454.54371042850192</v>
      </c>
      <c r="M20" s="28">
        <f>'[1]FY25 Budget Consolidate'!$AJ$22*'[1]Last fiscal year P&amp;L by month'!M19</f>
        <v>2470.7697402577855</v>
      </c>
      <c r="N20" s="28">
        <f>'[1]FY25 Budget Consolidate'!$AJ$22*'[1]Last fiscal year P&amp;L by month'!N19</f>
        <v>1957.8691108918415</v>
      </c>
      <c r="O20" s="28">
        <f>'[1]FY25 Budget Consolidate'!$AJ$22*'[1]Last fiscal year P&amp;L by month'!C19</f>
        <v>64.934815775500283</v>
      </c>
      <c r="P20" s="28">
        <f>'[1]FY25 Budget Consolidate'!$AJ$22*'[1]Last fiscal year P&amp;L by month'!D19</f>
        <v>48.701111831625212</v>
      </c>
      <c r="Q20" s="28">
        <f>'[1]FY25 Budget Consolidate'!$AJ$22*'[1]Last fiscal year P&amp;L by month'!E19</f>
        <v>0</v>
      </c>
      <c r="R20" s="28">
        <f>'[1]FY25 Budget Consolidate'!$AJ$22*'[1]Last fiscal year P&amp;L by month'!F19</f>
        <v>292.20667098975122</v>
      </c>
      <c r="S20" s="25"/>
      <c r="T20" s="25" t="s">
        <v>33</v>
      </c>
      <c r="U20" s="25"/>
      <c r="V20" s="25"/>
    </row>
    <row r="21" spans="2:22" x14ac:dyDescent="0.2">
      <c r="B21" s="27" t="s">
        <v>38</v>
      </c>
      <c r="C21" s="28">
        <f>'[1]FY25 Budget Consolidate'!$AJ$23*'[1]Last fiscal year P&amp;L by month'!C21</f>
        <v>0</v>
      </c>
      <c r="D21" s="28">
        <f>'[1]FY25 Budget Consolidate'!$AJ$23*'[1]Last fiscal year P&amp;L by month'!D21</f>
        <v>0</v>
      </c>
      <c r="E21" s="28">
        <f>'[1]FY25 Budget Consolidate'!$AJ$23*'[1]Last fiscal year P&amp;L by month'!E21</f>
        <v>0</v>
      </c>
      <c r="F21" s="28">
        <f>'[1]FY25 Budget Consolidate'!$AJ$23*'[1]Last fiscal year P&amp;L by month'!F21</f>
        <v>622.14848610535046</v>
      </c>
      <c r="G21" s="28">
        <f>'[1]FY25 Budget Consolidate'!$AJ$23*'[1]Last fiscal year P&amp;L by month'!G21</f>
        <v>1102.447117378681</v>
      </c>
      <c r="H21" s="28">
        <f>'[1]FY25 Budget Consolidate'!$AJ$23*'[1]Last fiscal year P&amp;L by month'!H21</f>
        <v>0</v>
      </c>
      <c r="I21" s="28">
        <f>'[1]FY25 Budget Consolidate'!$AJ$23*'[1]Last fiscal year P&amp;L by month'!I21</f>
        <v>0</v>
      </c>
      <c r="J21" s="28">
        <f>'[1]FY25 Budget Consolidate'!$AJ$23*'[1]Last fiscal year P&amp;L by month'!J21</f>
        <v>0</v>
      </c>
      <c r="K21" s="28">
        <f>'[1]FY25 Budget Consolidate'!$AJ$23*'[1]Last fiscal year P&amp;L by month'!K21</f>
        <v>404.39651596847779</v>
      </c>
      <c r="L21" s="28">
        <f>'[1]FY25 Budget Consolidate'!$AJ$23*'[1]Last fiscal year P&amp;L by month'!L21</f>
        <v>124.4296972210701</v>
      </c>
      <c r="M21" s="28">
        <f>'[1]FY25 Budget Consolidate'!$AJ$23*'[1]Last fiscal year P&amp;L by month'!M21</f>
        <v>746.57818332642057</v>
      </c>
      <c r="N21" s="28">
        <f>'[1]FY25 Budget Consolidate'!$AJ$23*'[1]Last fiscal year P&amp;L by month'!N21</f>
        <v>0</v>
      </c>
      <c r="O21" s="28">
        <f>'[1]FY25 Budget Consolidate'!$AJ$23*'[1]Last fiscal year P&amp;L by month'!C21</f>
        <v>0</v>
      </c>
      <c r="P21" s="28">
        <f>'[1]FY25 Budget Consolidate'!$AJ$23*'[1]Last fiscal year P&amp;L by month'!D21</f>
        <v>0</v>
      </c>
      <c r="Q21" s="28">
        <f>'[1]FY25 Budget Consolidate'!$AJ$23*'[1]Last fiscal year P&amp;L by month'!E21</f>
        <v>0</v>
      </c>
      <c r="R21" s="28">
        <f>'[1]FY25 Budget Consolidate'!$AJ$23*'[1]Last fiscal year P&amp;L by month'!F21</f>
        <v>622.14848610535046</v>
      </c>
      <c r="S21" s="25"/>
      <c r="T21" s="25" t="s">
        <v>33</v>
      </c>
      <c r="U21" s="25"/>
      <c r="V21" s="25"/>
    </row>
    <row r="22" spans="2:22" x14ac:dyDescent="0.2">
      <c r="B22" s="27" t="s">
        <v>39</v>
      </c>
      <c r="C22" s="28">
        <f>'[1]FY25 Budget Consolidate'!$AJ$25*'[1]Last fiscal year P&amp;L by month'!C25</f>
        <v>331.75369282721277</v>
      </c>
      <c r="D22" s="28">
        <f>'[1]FY25 Budget Consolidate'!$AJ$25*'[1]Last fiscal year P&amp;L by month'!D25</f>
        <v>21.403464053368566</v>
      </c>
      <c r="E22" s="28">
        <f>'[1]FY25 Budget Consolidate'!$AJ$25*'[1]Last fiscal year P&amp;L by month'!E25</f>
        <v>1187.8922549619554</v>
      </c>
      <c r="F22" s="28">
        <f>'[1]FY25 Budget Consolidate'!$AJ$25*'[1]Last fiscal year P&amp;L by month'!F25</f>
        <v>107.01732026684284</v>
      </c>
      <c r="G22" s="28">
        <f>'[1]FY25 Budget Consolidate'!$AJ$25*'[1]Last fiscal year P&amp;L by month'!G25</f>
        <v>6.4210392160105698</v>
      </c>
      <c r="H22" s="28">
        <f>'[1]FY25 Budget Consolidate'!$AJ$25*'[1]Last fiscal year P&amp;L by month'!H25</f>
        <v>2140.3464053368566</v>
      </c>
      <c r="I22" s="28">
        <f>'[1]FY25 Budget Consolidate'!$AJ$25*'[1]Last fiscal year P&amp;L by month'!I25</f>
        <v>0</v>
      </c>
      <c r="J22" s="28">
        <f>'[1]FY25 Budget Consolidate'!$AJ$25*'[1]Last fiscal year P&amp;L by month'!J25</f>
        <v>1070.1732026684283</v>
      </c>
      <c r="K22" s="28">
        <f>'[1]FY25 Budget Consolidate'!$AJ$25*'[1]Last fiscal year P&amp;L by month'!K25</f>
        <v>6393.2147127411918</v>
      </c>
      <c r="L22" s="28">
        <f>'[1]FY25 Budget Consolidate'!$AJ$25*'[1]Last fiscal year P&amp;L by month'!L25</f>
        <v>699.89327454515217</v>
      </c>
      <c r="M22" s="28">
        <f>'[1]FY25 Budget Consolidate'!$AJ$25*'[1]Last fiscal year P&amp;L by month'!M25</f>
        <v>3924.3465376491799</v>
      </c>
      <c r="N22" s="28">
        <f>'[1]FY25 Budget Consolidate'!$AJ$25*'[1]Last fiscal year P&amp;L by month'!N25</f>
        <v>6117.5380957338029</v>
      </c>
      <c r="O22" s="28">
        <f>'[1]FY25 Budget Consolidate'!$AJ$25*'[1]Last fiscal year P&amp;L by month'!C25</f>
        <v>331.75369282721277</v>
      </c>
      <c r="P22" s="28">
        <f>'[1]FY25 Budget Consolidate'!$AJ$25*'[1]Last fiscal year P&amp;L by month'!D25</f>
        <v>21.403464053368566</v>
      </c>
      <c r="Q22" s="28">
        <f>'[1]FY25 Budget Consolidate'!$AJ$25*'[1]Last fiscal year P&amp;L by month'!E25</f>
        <v>1187.8922549619554</v>
      </c>
      <c r="R22" s="28">
        <f>'[1]FY25 Budget Consolidate'!$AJ$25*'[1]Last fiscal year P&amp;L by month'!F25</f>
        <v>107.01732026684284</v>
      </c>
      <c r="S22" s="25"/>
      <c r="T22" s="25" t="s">
        <v>33</v>
      </c>
      <c r="U22" s="25"/>
      <c r="V22" s="25"/>
    </row>
    <row r="23" spans="2:22" x14ac:dyDescent="0.2">
      <c r="B23" s="27" t="s">
        <v>40</v>
      </c>
      <c r="C23" s="28">
        <f>'[1]FY25 Budget Consolidate'!$AJ$26*'[1]Last fiscal year P&amp;L by month'!C27</f>
        <v>71.812769746716356</v>
      </c>
      <c r="D23" s="28">
        <f>'[1]FY25 Budget Consolidate'!$AJ$26*'[1]Last fiscal year P&amp;L by month'!D27</f>
        <v>129.26298554408945</v>
      </c>
      <c r="E23" s="28">
        <f>'[1]FY25 Budget Consolidate'!$AJ$26*'[1]Last fiscal year P&amp;L by month'!E27</f>
        <v>201.0757552908058</v>
      </c>
      <c r="F23" s="28">
        <f>'[1]FY25 Budget Consolidate'!$AJ$26*'[1]Last fiscal year P&amp;L by month'!F27</f>
        <v>244.1634171388356</v>
      </c>
      <c r="G23" s="28">
        <f>'[1]FY25 Budget Consolidate'!$AJ$26*'[1]Last fiscal year P&amp;L by month'!G27</f>
        <v>14.362553949343273</v>
      </c>
      <c r="H23" s="28">
        <f>'[1]FY25 Budget Consolidate'!$AJ$26*'[1]Last fiscal year P&amp;L by month'!H27</f>
        <v>14.362553949343273</v>
      </c>
      <c r="I23" s="28">
        <f>'[1]FY25 Budget Consolidate'!$AJ$26*'[1]Last fiscal year P&amp;L by month'!I27</f>
        <v>697.37380701036261</v>
      </c>
      <c r="J23" s="28">
        <f>'[1]FY25 Budget Consolidate'!$AJ$26*'[1]Last fiscal year P&amp;L by month'!J27</f>
        <v>0</v>
      </c>
      <c r="K23" s="28">
        <f>'[1]FY25 Budget Consolidate'!$AJ$26*'[1]Last fiscal year P&amp;L by month'!K27</f>
        <v>900.53213262382314</v>
      </c>
      <c r="L23" s="28">
        <f>'[1]FY25 Budget Consolidate'!$AJ$26*'[1]Last fiscal year P&amp;L by month'!L27</f>
        <v>294.4323559615371</v>
      </c>
      <c r="M23" s="28">
        <f>'[1]FY25 Budget Consolidate'!$AJ$26*'[1]Last fiscal year P&amp;L by month'!M27</f>
        <v>6908.3884496341143</v>
      </c>
      <c r="N23" s="28">
        <f>'[1]FY25 Budget Consolidate'!$AJ$26*'[1]Last fiscal year P&amp;L by month'!N27</f>
        <v>524.2332191510294</v>
      </c>
      <c r="O23" s="28">
        <f>'[1]FY25 Budget Consolidate'!$AJ$26*'[1]Last fiscal year P&amp;L by month'!C27</f>
        <v>71.812769746716356</v>
      </c>
      <c r="P23" s="28">
        <f>'[1]FY25 Budget Consolidate'!$AJ$26*'[1]Last fiscal year P&amp;L by month'!D27</f>
        <v>129.26298554408945</v>
      </c>
      <c r="Q23" s="28">
        <f>'[1]FY25 Budget Consolidate'!$AJ$26*'[1]Last fiscal year P&amp;L by month'!E27</f>
        <v>201.0757552908058</v>
      </c>
      <c r="R23" s="28">
        <f>'[1]FY25 Budget Consolidate'!$AJ$26*'[1]Last fiscal year P&amp;L by month'!F27</f>
        <v>244.1634171388356</v>
      </c>
      <c r="S23" s="25"/>
      <c r="T23" s="25" t="s">
        <v>33</v>
      </c>
      <c r="U23" s="25"/>
      <c r="V23" s="25"/>
    </row>
    <row r="24" spans="2:22" x14ac:dyDescent="0.2">
      <c r="B24" s="27" t="s">
        <v>41</v>
      </c>
      <c r="C24" s="29">
        <f>SUM(C19:C23)</f>
        <v>468.50127834942941</v>
      </c>
      <c r="D24" s="29">
        <f t="shared" ref="D24:R24" si="3">SUM(D19:D23)</f>
        <v>199.36756142908322</v>
      </c>
      <c r="E24" s="29">
        <f t="shared" si="3"/>
        <v>1388.9680102527611</v>
      </c>
      <c r="F24" s="29">
        <f t="shared" si="3"/>
        <v>1265.5358945007802</v>
      </c>
      <c r="G24" s="29">
        <f t="shared" si="3"/>
        <v>4694.6455781965496</v>
      </c>
      <c r="H24" s="29">
        <f t="shared" si="3"/>
        <v>5726.123826938715</v>
      </c>
      <c r="I24" s="29">
        <f t="shared" si="3"/>
        <v>9177.8607472906988</v>
      </c>
      <c r="J24" s="29">
        <f t="shared" si="3"/>
        <v>1719.5213604234309</v>
      </c>
      <c r="K24" s="29">
        <f t="shared" si="3"/>
        <v>8136.4533678181197</v>
      </c>
      <c r="L24" s="29">
        <f t="shared" si="3"/>
        <v>1573.2990381562611</v>
      </c>
      <c r="M24" s="29">
        <f t="shared" si="3"/>
        <v>14050.082910867501</v>
      </c>
      <c r="N24" s="29">
        <f t="shared" si="3"/>
        <v>8599.6404257766735</v>
      </c>
      <c r="O24" s="29">
        <f t="shared" si="3"/>
        <v>468.50127834942941</v>
      </c>
      <c r="P24" s="29">
        <f t="shared" si="3"/>
        <v>199.36756142908322</v>
      </c>
      <c r="Q24" s="29">
        <f t="shared" si="3"/>
        <v>1388.9680102527611</v>
      </c>
      <c r="R24" s="29">
        <f t="shared" si="3"/>
        <v>1265.5358945007802</v>
      </c>
      <c r="S24" s="29">
        <f>SUM(C24:N24)</f>
        <v>57000</v>
      </c>
      <c r="V24" s="25"/>
    </row>
    <row r="25" spans="2:22" x14ac:dyDescent="0.2">
      <c r="B25" s="10" t="s">
        <v>42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V25" s="25"/>
    </row>
    <row r="26" spans="2:22" x14ac:dyDescent="0.2">
      <c r="B26" s="27" t="s">
        <v>43</v>
      </c>
      <c r="C26" s="28"/>
      <c r="D26" s="28">
        <v>110000</v>
      </c>
      <c r="E26" s="28"/>
      <c r="F26" s="28"/>
      <c r="G26" s="28"/>
      <c r="H26" s="28"/>
      <c r="I26" s="28"/>
      <c r="J26" s="28"/>
      <c r="K26" s="28"/>
      <c r="L26" s="28"/>
      <c r="M26" s="28"/>
      <c r="N26" s="28">
        <v>200000</v>
      </c>
      <c r="O26" s="28"/>
      <c r="P26" s="28">
        <v>110000</v>
      </c>
      <c r="Q26" s="28"/>
      <c r="R26" s="28"/>
      <c r="S26" s="25"/>
      <c r="V26" s="25"/>
    </row>
    <row r="27" spans="2:22" x14ac:dyDescent="0.2">
      <c r="B27" s="27" t="s">
        <v>44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>
        <v>20000</v>
      </c>
      <c r="O27" s="28"/>
      <c r="P27" s="28"/>
      <c r="Q27" s="28"/>
      <c r="R27" s="28"/>
      <c r="S27" s="25"/>
      <c r="V27" s="25"/>
    </row>
    <row r="28" spans="2:22" x14ac:dyDescent="0.2">
      <c r="B28" s="27" t="s">
        <v>45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>
        <v>2000</v>
      </c>
      <c r="O28" s="28"/>
      <c r="P28" s="28"/>
      <c r="Q28" s="28"/>
      <c r="R28" s="28"/>
      <c r="S28" s="25"/>
      <c r="V28" s="25"/>
    </row>
    <row r="29" spans="2:22" x14ac:dyDescent="0.2">
      <c r="B29" s="27" t="s">
        <v>46</v>
      </c>
      <c r="C29" s="28"/>
      <c r="D29" s="28"/>
      <c r="E29" s="28"/>
      <c r="F29" s="28"/>
      <c r="G29" s="28"/>
      <c r="H29" s="28">
        <v>142500</v>
      </c>
      <c r="I29" s="28"/>
      <c r="J29" s="28"/>
      <c r="K29" s="28"/>
      <c r="L29" s="28"/>
      <c r="M29" s="28"/>
      <c r="N29" s="28">
        <v>142500</v>
      </c>
      <c r="O29" s="28"/>
      <c r="P29" s="28"/>
      <c r="Q29" s="28"/>
      <c r="R29" s="28"/>
      <c r="S29" s="25"/>
      <c r="V29" s="25"/>
    </row>
    <row r="30" spans="2:22" x14ac:dyDescent="0.2">
      <c r="B30" s="27" t="s">
        <v>47</v>
      </c>
      <c r="C30" s="29">
        <f>SUM(C25:C29)</f>
        <v>0</v>
      </c>
      <c r="D30" s="29">
        <f t="shared" ref="D30:R30" si="4">SUM(D25:D29)</f>
        <v>110000</v>
      </c>
      <c r="E30" s="29">
        <f t="shared" si="4"/>
        <v>0</v>
      </c>
      <c r="F30" s="29">
        <f t="shared" si="4"/>
        <v>0</v>
      </c>
      <c r="G30" s="29">
        <f t="shared" si="4"/>
        <v>0</v>
      </c>
      <c r="H30" s="29">
        <f t="shared" si="4"/>
        <v>142500</v>
      </c>
      <c r="I30" s="29">
        <f t="shared" si="4"/>
        <v>0</v>
      </c>
      <c r="J30" s="29">
        <f t="shared" si="4"/>
        <v>0</v>
      </c>
      <c r="K30" s="29">
        <f t="shared" si="4"/>
        <v>0</v>
      </c>
      <c r="L30" s="29">
        <f t="shared" si="4"/>
        <v>0</v>
      </c>
      <c r="M30" s="29">
        <f t="shared" si="4"/>
        <v>0</v>
      </c>
      <c r="N30" s="29">
        <f t="shared" si="4"/>
        <v>364500</v>
      </c>
      <c r="O30" s="29">
        <f t="shared" si="4"/>
        <v>0</v>
      </c>
      <c r="P30" s="29">
        <f t="shared" si="4"/>
        <v>110000</v>
      </c>
      <c r="Q30" s="29">
        <f t="shared" si="4"/>
        <v>0</v>
      </c>
      <c r="R30" s="29">
        <f t="shared" si="4"/>
        <v>0</v>
      </c>
      <c r="S30" s="29">
        <f>SUM(C30:N30)</f>
        <v>617000</v>
      </c>
      <c r="V30" s="25"/>
    </row>
    <row r="31" spans="2:22" x14ac:dyDescent="0.2">
      <c r="B31" s="10" t="s">
        <v>48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0" t="s">
        <v>49</v>
      </c>
      <c r="V31" s="25"/>
    </row>
    <row r="32" spans="2:22" x14ac:dyDescent="0.2">
      <c r="B32" s="27" t="s">
        <v>50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5"/>
      <c r="U32" s="25"/>
      <c r="V32" s="25"/>
    </row>
    <row r="33" spans="1:22" x14ac:dyDescent="0.2">
      <c r="B33" s="27" t="s">
        <v>51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5"/>
      <c r="T33" s="25"/>
      <c r="U33" s="25"/>
      <c r="V33" s="25"/>
    </row>
    <row r="34" spans="1:22" x14ac:dyDescent="0.2">
      <c r="B34" s="27" t="s">
        <v>52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5"/>
      <c r="U34" s="25"/>
      <c r="V34" s="25"/>
    </row>
    <row r="35" spans="1:22" x14ac:dyDescent="0.2">
      <c r="B35" s="30" t="s">
        <v>53</v>
      </c>
      <c r="C35" s="28">
        <f>'[1]Overhead Details '!B8</f>
        <v>5195.7749999999996</v>
      </c>
      <c r="D35" s="28">
        <f>'[1]Overhead Details '!C8</f>
        <v>5195.7749999999996</v>
      </c>
      <c r="E35" s="28">
        <f>'[1]Overhead Details '!D8</f>
        <v>5195.7749999999996</v>
      </c>
      <c r="F35" s="28">
        <f>'[1]Overhead Details '!E8</f>
        <v>5195.7749999999996</v>
      </c>
      <c r="G35" s="28">
        <f>'[1]Overhead Details '!F8</f>
        <v>5195.7749999999996</v>
      </c>
      <c r="H35" s="28">
        <f>'[1]Overhead Details '!G8</f>
        <v>5195.7749999999996</v>
      </c>
      <c r="I35" s="28">
        <f>'[1]Overhead Details '!H8</f>
        <v>5195.7749999999996</v>
      </c>
      <c r="J35" s="28">
        <f>'[1]Overhead Details '!I8</f>
        <v>1278.5250000000001</v>
      </c>
      <c r="K35" s="28">
        <f>'[1]Overhead Details '!J8</f>
        <v>1278.5250000000001</v>
      </c>
      <c r="L35" s="28">
        <f>'[1]Overhead Details '!K8</f>
        <v>1289.1624999999999</v>
      </c>
      <c r="M35" s="28">
        <f>'[1]Overhead Details '!L8</f>
        <v>1289.1624999999999</v>
      </c>
      <c r="N35" s="28">
        <f>'[1]Overhead Details '!M8</f>
        <v>1289.1624999999999</v>
      </c>
      <c r="O35" s="28">
        <f>'[1]Overhead Details '!B8</f>
        <v>5195.7749999999996</v>
      </c>
      <c r="P35" s="28">
        <f>'[1]Overhead Details '!C8</f>
        <v>5195.7749999999996</v>
      </c>
      <c r="Q35" s="28">
        <f>'[1]Overhead Details '!D8</f>
        <v>5195.7749999999996</v>
      </c>
      <c r="R35" s="28">
        <f>'[1]Overhead Details '!E8</f>
        <v>5195.7749999999996</v>
      </c>
      <c r="S35" s="25"/>
      <c r="T35" s="25" t="s">
        <v>54</v>
      </c>
      <c r="U35" s="25"/>
      <c r="V35" s="25"/>
    </row>
    <row r="36" spans="1:22" x14ac:dyDescent="0.2">
      <c r="B36" s="27" t="s">
        <v>55</v>
      </c>
      <c r="C36" s="29">
        <f>SUM(C31:C35)</f>
        <v>5195.7749999999996</v>
      </c>
      <c r="D36" s="29">
        <f t="shared" ref="D36:R36" si="5">SUM(D31:D35)</f>
        <v>5195.7749999999996</v>
      </c>
      <c r="E36" s="29">
        <f t="shared" si="5"/>
        <v>5195.7749999999996</v>
      </c>
      <c r="F36" s="29">
        <f t="shared" si="5"/>
        <v>5195.7749999999996</v>
      </c>
      <c r="G36" s="29">
        <f t="shared" si="5"/>
        <v>5195.7749999999996</v>
      </c>
      <c r="H36" s="29">
        <f t="shared" si="5"/>
        <v>5195.7749999999996</v>
      </c>
      <c r="I36" s="29">
        <f t="shared" si="5"/>
        <v>5195.7749999999996</v>
      </c>
      <c r="J36" s="29">
        <f t="shared" si="5"/>
        <v>1278.5250000000001</v>
      </c>
      <c r="K36" s="29">
        <f t="shared" si="5"/>
        <v>1278.5250000000001</v>
      </c>
      <c r="L36" s="29">
        <f t="shared" si="5"/>
        <v>1289.1624999999999</v>
      </c>
      <c r="M36" s="29">
        <f t="shared" si="5"/>
        <v>1289.1624999999999</v>
      </c>
      <c r="N36" s="29">
        <f t="shared" si="5"/>
        <v>1289.1624999999999</v>
      </c>
      <c r="O36" s="29">
        <f t="shared" si="5"/>
        <v>5195.7749999999996</v>
      </c>
      <c r="P36" s="29">
        <f t="shared" si="5"/>
        <v>5195.7749999999996</v>
      </c>
      <c r="Q36" s="29">
        <f t="shared" si="5"/>
        <v>5195.7749999999996</v>
      </c>
      <c r="R36" s="29">
        <f t="shared" si="5"/>
        <v>5195.7749999999996</v>
      </c>
      <c r="S36" s="29">
        <f>SUM(C36:N36)</f>
        <v>42794.962500000001</v>
      </c>
      <c r="T36" s="10" t="s">
        <v>56</v>
      </c>
      <c r="U36" s="25"/>
      <c r="V36" s="25"/>
    </row>
    <row r="37" spans="1:22" x14ac:dyDescent="0.2">
      <c r="B37" s="27" t="s">
        <v>57</v>
      </c>
      <c r="C37" s="28"/>
      <c r="D37" s="28">
        <f>14000+750</f>
        <v>14750</v>
      </c>
      <c r="E37" s="28"/>
      <c r="F37" s="28"/>
      <c r="G37" s="28">
        <f>14000+12000</f>
        <v>26000</v>
      </c>
      <c r="H37" s="28"/>
      <c r="I37" s="31">
        <f>230000+1000</f>
        <v>231000</v>
      </c>
      <c r="J37" s="28">
        <f>14000</f>
        <v>14000</v>
      </c>
      <c r="K37" s="28"/>
      <c r="L37" s="31">
        <v>-2000</v>
      </c>
      <c r="M37" s="28">
        <f>14000+12000</f>
        <v>26000</v>
      </c>
      <c r="N37" s="28"/>
      <c r="O37" s="28"/>
      <c r="P37" s="28">
        <v>14000</v>
      </c>
      <c r="Q37" s="28"/>
      <c r="R37" s="28"/>
      <c r="S37" s="25"/>
      <c r="T37" s="25" t="s">
        <v>58</v>
      </c>
      <c r="U37" s="25" t="s">
        <v>59</v>
      </c>
    </row>
    <row r="38" spans="1:22" x14ac:dyDescent="0.2">
      <c r="B38" s="27" t="s">
        <v>60</v>
      </c>
      <c r="C38" s="28"/>
      <c r="D38" s="28"/>
      <c r="E38" s="28"/>
      <c r="F38" s="28"/>
      <c r="G38" s="28">
        <v>14500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5"/>
      <c r="T38" s="25"/>
      <c r="U38" s="25"/>
      <c r="V38" s="25"/>
    </row>
    <row r="39" spans="1:22" x14ac:dyDescent="0.2">
      <c r="B39" s="27" t="s">
        <v>61</v>
      </c>
      <c r="C39" s="32">
        <f>SUM(C37:C38)</f>
        <v>0</v>
      </c>
      <c r="D39" s="32">
        <f t="shared" ref="D39:R39" si="6">SUM(D37:D38)</f>
        <v>14750</v>
      </c>
      <c r="E39" s="32">
        <f t="shared" si="6"/>
        <v>0</v>
      </c>
      <c r="F39" s="32">
        <f t="shared" si="6"/>
        <v>0</v>
      </c>
      <c r="G39" s="32">
        <f t="shared" si="6"/>
        <v>40500</v>
      </c>
      <c r="H39" s="32">
        <f t="shared" si="6"/>
        <v>0</v>
      </c>
      <c r="I39" s="32">
        <f t="shared" si="6"/>
        <v>231000</v>
      </c>
      <c r="J39" s="32">
        <f t="shared" si="6"/>
        <v>14000</v>
      </c>
      <c r="K39" s="32">
        <f t="shared" si="6"/>
        <v>0</v>
      </c>
      <c r="L39" s="32">
        <f t="shared" si="6"/>
        <v>-2000</v>
      </c>
      <c r="M39" s="32">
        <f t="shared" si="6"/>
        <v>26000</v>
      </c>
      <c r="N39" s="32">
        <f t="shared" si="6"/>
        <v>0</v>
      </c>
      <c r="O39" s="29">
        <f t="shared" si="6"/>
        <v>0</v>
      </c>
      <c r="P39" s="29">
        <f t="shared" si="6"/>
        <v>14000</v>
      </c>
      <c r="Q39" s="29">
        <f t="shared" si="6"/>
        <v>0</v>
      </c>
      <c r="R39" s="29">
        <f t="shared" si="6"/>
        <v>0</v>
      </c>
      <c r="S39" s="29">
        <f>SUM(C39:N39)</f>
        <v>324250</v>
      </c>
      <c r="T39" s="25"/>
      <c r="U39" s="25"/>
      <c r="V39" s="25"/>
    </row>
    <row r="40" spans="1:22" x14ac:dyDescent="0.2">
      <c r="B40" s="2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25"/>
      <c r="U40" s="25"/>
      <c r="V40" s="25"/>
    </row>
    <row r="41" spans="1:22" x14ac:dyDescent="0.2">
      <c r="A41" s="34" t="s">
        <v>62</v>
      </c>
      <c r="B41" s="34"/>
      <c r="C41" s="35">
        <f>C18+C24+C30+C36+C39</f>
        <v>25683.882355254158</v>
      </c>
      <c r="D41" s="35">
        <f t="shared" ref="D41:R41" si="7">D18+D24+D30+D36+D39</f>
        <v>144358.06046649063</v>
      </c>
      <c r="E41" s="35">
        <f t="shared" si="7"/>
        <v>17440.370899982518</v>
      </c>
      <c r="F41" s="35">
        <f t="shared" si="7"/>
        <v>11447.815519843873</v>
      </c>
      <c r="G41" s="35">
        <f t="shared" si="7"/>
        <v>54963.360320864267</v>
      </c>
      <c r="H41" s="35">
        <f t="shared" si="7"/>
        <v>156045.36153962664</v>
      </c>
      <c r="I41" s="35">
        <f t="shared" si="7"/>
        <v>248641.476842592</v>
      </c>
      <c r="J41" s="35">
        <f t="shared" si="7"/>
        <v>20171.613736321207</v>
      </c>
      <c r="K41" s="35">
        <f t="shared" si="7"/>
        <v>28725.282313539006</v>
      </c>
      <c r="L41" s="35">
        <f t="shared" si="7"/>
        <v>14419.237357344147</v>
      </c>
      <c r="M41" s="35">
        <f t="shared" si="7"/>
        <v>65290.328314818827</v>
      </c>
      <c r="N41" s="35">
        <f t="shared" si="7"/>
        <v>399358.17283332266</v>
      </c>
      <c r="O41" s="35">
        <f t="shared" si="7"/>
        <v>25683.882355254158</v>
      </c>
      <c r="P41" s="35">
        <f t="shared" si="7"/>
        <v>143608.06046649063</v>
      </c>
      <c r="Q41" s="35">
        <f t="shared" si="7"/>
        <v>17440.370899982518</v>
      </c>
      <c r="R41" s="35">
        <f t="shared" si="7"/>
        <v>11447.815519843873</v>
      </c>
      <c r="S41" s="35">
        <f>SUM(S18:S39)</f>
        <v>1186544.9624999999</v>
      </c>
      <c r="T41" s="25"/>
      <c r="U41" s="25"/>
      <c r="V41" s="25"/>
    </row>
    <row r="42" spans="1:22" x14ac:dyDescent="0.2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x14ac:dyDescent="0.2">
      <c r="A43" s="24" t="s">
        <v>63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x14ac:dyDescent="0.2">
      <c r="B44" s="10" t="s">
        <v>64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5"/>
      <c r="V44" s="25"/>
    </row>
    <row r="45" spans="1:22" x14ac:dyDescent="0.2">
      <c r="B45" s="36" t="s">
        <v>65</v>
      </c>
      <c r="C45" s="28">
        <f>'[1]Payroll Expense'!B30</f>
        <v>56914.662773000004</v>
      </c>
      <c r="D45" s="28">
        <f>'[1]Payroll Expense'!C30</f>
        <v>56652.956028460001</v>
      </c>
      <c r="E45" s="28">
        <f>'[1]Payroll Expense'!D30</f>
        <v>56652.956028460001</v>
      </c>
      <c r="F45" s="28">
        <f>'[1]Payroll Expense'!E30</f>
        <v>56652.956028460001</v>
      </c>
      <c r="G45" s="28">
        <f>'[1]Payroll Expense'!F30</f>
        <v>56652.956028460001</v>
      </c>
      <c r="H45" s="28">
        <f>'[1]Payroll Expense'!G30</f>
        <v>56652.956028460001</v>
      </c>
      <c r="I45" s="28">
        <f>'[1]Payroll Expense'!H30</f>
        <v>84979.434042690002</v>
      </c>
      <c r="J45" s="28">
        <f>'[1]Payroll Expense'!I30</f>
        <v>56652.956028460001</v>
      </c>
      <c r="K45" s="28">
        <f>'[1]Payroll Expense'!J30</f>
        <v>56252.544709313799</v>
      </c>
      <c r="L45" s="28">
        <f>'[1]Payroll Expense'!K30</f>
        <v>56252.544709313799</v>
      </c>
      <c r="M45" s="28">
        <f>'[1]Payroll Expense'!L30</f>
        <v>56252.544709313799</v>
      </c>
      <c r="N45" s="28">
        <f>'[1]Payroll Expense'!M30</f>
        <v>84378.817063970695</v>
      </c>
      <c r="O45" s="28">
        <f>'[1]Payroll Expense'!N30</f>
        <v>62252.544709313799</v>
      </c>
      <c r="P45" s="28">
        <f>'[1]Payroll Expense'!O30</f>
        <v>62252.544709313799</v>
      </c>
      <c r="Q45" s="28">
        <f>'[1]Payroll Expense'!P30</f>
        <v>62252.544709313799</v>
      </c>
      <c r="R45" s="28">
        <f>'[1]Payroll Expense'!Q30</f>
        <v>62252.544709313799</v>
      </c>
      <c r="S45" s="25"/>
      <c r="T45" s="25" t="s">
        <v>66</v>
      </c>
      <c r="U45" s="25" t="s">
        <v>67</v>
      </c>
      <c r="V45" s="25"/>
    </row>
    <row r="46" spans="1:22" x14ac:dyDescent="0.2">
      <c r="B46" s="27" t="s">
        <v>68</v>
      </c>
      <c r="C46" s="28">
        <f>'[1]FY25 Budget Consolidate'!$AJ$88/12</f>
        <v>250</v>
      </c>
      <c r="D46" s="28">
        <f>'[1]FY25 Budget Consolidate'!$AJ$88/12</f>
        <v>250</v>
      </c>
      <c r="E46" s="28">
        <f>'[1]FY25 Budget Consolidate'!$AJ$88/12</f>
        <v>250</v>
      </c>
      <c r="F46" s="28">
        <f>'[1]FY25 Budget Consolidate'!$AJ$88/12</f>
        <v>250</v>
      </c>
      <c r="G46" s="28">
        <f>'[1]FY25 Budget Consolidate'!$AJ$88/12</f>
        <v>250</v>
      </c>
      <c r="H46" s="28">
        <f>'[1]FY25 Budget Consolidate'!$AJ$88/12</f>
        <v>250</v>
      </c>
      <c r="I46" s="28">
        <f>'[1]FY25 Budget Consolidate'!$AJ$88/12</f>
        <v>250</v>
      </c>
      <c r="J46" s="28">
        <f>'[1]FY25 Budget Consolidate'!$AJ$88/12</f>
        <v>250</v>
      </c>
      <c r="K46" s="28">
        <f>'[1]FY25 Budget Consolidate'!$AJ$88/12</f>
        <v>250</v>
      </c>
      <c r="L46" s="28">
        <f>'[1]FY25 Budget Consolidate'!$AJ$88/12</f>
        <v>250</v>
      </c>
      <c r="M46" s="28">
        <f>'[1]FY25 Budget Consolidate'!$AJ$88/12</f>
        <v>250</v>
      </c>
      <c r="N46" s="28">
        <f>'[1]FY25 Budget Consolidate'!$AJ$88/12</f>
        <v>250</v>
      </c>
      <c r="O46" s="28">
        <f>'[1]FY25 Budget Consolidate'!$AJ$88/12</f>
        <v>250</v>
      </c>
      <c r="P46" s="28">
        <f>'[1]FY25 Budget Consolidate'!$AJ$88/12</f>
        <v>250</v>
      </c>
      <c r="Q46" s="28">
        <f>'[1]FY25 Budget Consolidate'!$AJ$88/12</f>
        <v>250</v>
      </c>
      <c r="R46" s="28">
        <f>'[1]FY25 Budget Consolidate'!$AJ$88/12</f>
        <v>250</v>
      </c>
      <c r="S46" s="25"/>
      <c r="T46" s="25" t="s">
        <v>69</v>
      </c>
      <c r="U46" s="25"/>
      <c r="V46" s="25"/>
    </row>
    <row r="47" spans="1:22" x14ac:dyDescent="0.2">
      <c r="B47" s="27" t="s">
        <v>70</v>
      </c>
      <c r="C47" s="29">
        <f>SUM(C44:C46)</f>
        <v>57164.662773000004</v>
      </c>
      <c r="D47" s="29">
        <f t="shared" ref="D47:R47" si="8">SUM(D44:D46)</f>
        <v>56902.956028460001</v>
      </c>
      <c r="E47" s="29">
        <f t="shared" si="8"/>
        <v>56902.956028460001</v>
      </c>
      <c r="F47" s="29">
        <f t="shared" si="8"/>
        <v>56902.956028460001</v>
      </c>
      <c r="G47" s="29">
        <f t="shared" si="8"/>
        <v>56902.956028460001</v>
      </c>
      <c r="H47" s="29">
        <f t="shared" si="8"/>
        <v>56902.956028460001</v>
      </c>
      <c r="I47" s="29">
        <f t="shared" si="8"/>
        <v>85229.434042690002</v>
      </c>
      <c r="J47" s="29">
        <f t="shared" si="8"/>
        <v>56902.956028460001</v>
      </c>
      <c r="K47" s="29">
        <f t="shared" si="8"/>
        <v>56502.544709313799</v>
      </c>
      <c r="L47" s="29">
        <f t="shared" si="8"/>
        <v>56502.544709313799</v>
      </c>
      <c r="M47" s="29">
        <f t="shared" si="8"/>
        <v>56502.544709313799</v>
      </c>
      <c r="N47" s="29">
        <f t="shared" si="8"/>
        <v>84628.817063970695</v>
      </c>
      <c r="O47" s="29">
        <f t="shared" si="8"/>
        <v>62502.544709313799</v>
      </c>
      <c r="P47" s="29">
        <f t="shared" si="8"/>
        <v>62502.544709313799</v>
      </c>
      <c r="Q47" s="29">
        <f t="shared" si="8"/>
        <v>62502.544709313799</v>
      </c>
      <c r="R47" s="29">
        <f t="shared" si="8"/>
        <v>62502.544709313799</v>
      </c>
      <c r="S47" s="29">
        <f>SUM(C47:N47)</f>
        <v>737948.28417836211</v>
      </c>
      <c r="T47" s="25"/>
      <c r="U47" s="25"/>
      <c r="V47" s="25"/>
    </row>
    <row r="48" spans="1:22" x14ac:dyDescent="0.2">
      <c r="B48" s="10" t="s">
        <v>71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2:22" x14ac:dyDescent="0.2">
      <c r="B49" s="27" t="s">
        <v>72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>
        <v>20000</v>
      </c>
      <c r="N49" s="28"/>
      <c r="O49" s="28"/>
      <c r="P49" s="28"/>
      <c r="Q49" s="28"/>
      <c r="R49" s="28"/>
      <c r="S49" s="25"/>
      <c r="T49" s="37" t="s">
        <v>73</v>
      </c>
      <c r="U49" s="37" t="s">
        <v>74</v>
      </c>
      <c r="V49" s="25"/>
    </row>
    <row r="50" spans="2:22" x14ac:dyDescent="0.2">
      <c r="B50" s="27" t="s">
        <v>75</v>
      </c>
      <c r="C50" s="28">
        <f>'[1]FY25 Budget Consolidate'!$AJ$128/12</f>
        <v>250</v>
      </c>
      <c r="D50" s="28">
        <f>'[1]FY25 Budget Consolidate'!$AJ$128/12</f>
        <v>250</v>
      </c>
      <c r="E50" s="28">
        <f>'[1]FY25 Budget Consolidate'!$AJ$128/12</f>
        <v>250</v>
      </c>
      <c r="F50" s="28">
        <f>'[1]FY25 Budget Consolidate'!$AJ$128/12</f>
        <v>250</v>
      </c>
      <c r="G50" s="28">
        <f>'[1]FY25 Budget Consolidate'!$AJ$128/12</f>
        <v>250</v>
      </c>
      <c r="H50" s="28">
        <f>'[1]FY25 Budget Consolidate'!$AJ$128/12</f>
        <v>250</v>
      </c>
      <c r="I50" s="28">
        <f>'[1]FY25 Budget Consolidate'!$AJ$128/12</f>
        <v>250</v>
      </c>
      <c r="J50" s="28">
        <f>'[1]FY25 Budget Consolidate'!$AJ$128/12</f>
        <v>250</v>
      </c>
      <c r="K50" s="28">
        <f>'[1]FY25 Budget Consolidate'!$AJ$128/12</f>
        <v>250</v>
      </c>
      <c r="L50" s="28">
        <f>'[1]FY25 Budget Consolidate'!$AJ$128/12</f>
        <v>250</v>
      </c>
      <c r="M50" s="28">
        <f>'[1]FY25 Budget Consolidate'!$AJ$128/12</f>
        <v>250</v>
      </c>
      <c r="N50" s="28">
        <f>'[1]FY25 Budget Consolidate'!$AJ$128/12</f>
        <v>250</v>
      </c>
      <c r="O50" s="28">
        <f>'[1]FY25 Budget Consolidate'!$AJ$128/12</f>
        <v>250</v>
      </c>
      <c r="P50" s="28">
        <f>'[1]FY25 Budget Consolidate'!$AJ$128/12</f>
        <v>250</v>
      </c>
      <c r="Q50" s="28">
        <f>'[1]FY25 Budget Consolidate'!$AJ$128/12</f>
        <v>250</v>
      </c>
      <c r="R50" s="28">
        <f>'[1]FY25 Budget Consolidate'!$AJ$128/12</f>
        <v>250</v>
      </c>
      <c r="S50" s="25"/>
      <c r="T50" s="25" t="s">
        <v>69</v>
      </c>
      <c r="U50" s="25"/>
      <c r="V50" s="25"/>
    </row>
    <row r="51" spans="2:22" x14ac:dyDescent="0.2">
      <c r="B51" s="27" t="s">
        <v>76</v>
      </c>
      <c r="C51" s="29">
        <f>SUM(C48:C50)</f>
        <v>250</v>
      </c>
      <c r="D51" s="29">
        <f t="shared" ref="D51:R51" si="9">SUM(D48:D50)</f>
        <v>250</v>
      </c>
      <c r="E51" s="29">
        <f t="shared" si="9"/>
        <v>250</v>
      </c>
      <c r="F51" s="29">
        <f t="shared" si="9"/>
        <v>250</v>
      </c>
      <c r="G51" s="29">
        <f t="shared" si="9"/>
        <v>250</v>
      </c>
      <c r="H51" s="29">
        <f t="shared" si="9"/>
        <v>250</v>
      </c>
      <c r="I51" s="29">
        <f t="shared" si="9"/>
        <v>250</v>
      </c>
      <c r="J51" s="29">
        <f t="shared" si="9"/>
        <v>250</v>
      </c>
      <c r="K51" s="29">
        <f t="shared" si="9"/>
        <v>250</v>
      </c>
      <c r="L51" s="29">
        <f t="shared" si="9"/>
        <v>250</v>
      </c>
      <c r="M51" s="29">
        <f t="shared" si="9"/>
        <v>20250</v>
      </c>
      <c r="N51" s="29">
        <f t="shared" si="9"/>
        <v>250</v>
      </c>
      <c r="O51" s="29">
        <f t="shared" si="9"/>
        <v>250</v>
      </c>
      <c r="P51" s="29">
        <f t="shared" si="9"/>
        <v>250</v>
      </c>
      <c r="Q51" s="29">
        <f t="shared" si="9"/>
        <v>250</v>
      </c>
      <c r="R51" s="29">
        <f t="shared" si="9"/>
        <v>250</v>
      </c>
      <c r="S51" s="29">
        <f>SUM(C51:N51)</f>
        <v>23000</v>
      </c>
      <c r="T51" s="25"/>
      <c r="U51" s="25"/>
      <c r="V51" s="25"/>
    </row>
    <row r="52" spans="2:22" x14ac:dyDescent="0.2">
      <c r="B52" s="27" t="s">
        <v>77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2:22" x14ac:dyDescent="0.2">
      <c r="B53" s="27" t="s">
        <v>78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5"/>
      <c r="U53" s="25"/>
      <c r="V53" s="25"/>
    </row>
    <row r="54" spans="2:22" x14ac:dyDescent="0.2">
      <c r="B54" s="27" t="s">
        <v>79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5"/>
      <c r="T54" s="25"/>
      <c r="U54" s="25"/>
      <c r="V54" s="25"/>
    </row>
    <row r="55" spans="2:22" x14ac:dyDescent="0.2">
      <c r="B55" s="27" t="s">
        <v>80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5"/>
      <c r="T55" s="25"/>
      <c r="U55" s="25"/>
      <c r="V55" s="25"/>
    </row>
    <row r="56" spans="2:22" x14ac:dyDescent="0.2">
      <c r="B56" s="27" t="s">
        <v>81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5"/>
      <c r="T56" s="25"/>
      <c r="U56" s="25"/>
      <c r="V56" s="25"/>
    </row>
    <row r="57" spans="2:22" x14ac:dyDescent="0.2">
      <c r="B57" s="27" t="s">
        <v>82</v>
      </c>
      <c r="C57" s="29">
        <f>SUM(C52:C56)</f>
        <v>0</v>
      </c>
      <c r="D57" s="29">
        <f t="shared" ref="D57:R57" si="10">SUM(D52:D56)</f>
        <v>0</v>
      </c>
      <c r="E57" s="29">
        <f t="shared" si="10"/>
        <v>0</v>
      </c>
      <c r="F57" s="29">
        <f t="shared" si="10"/>
        <v>0</v>
      </c>
      <c r="G57" s="29">
        <f t="shared" si="10"/>
        <v>0</v>
      </c>
      <c r="H57" s="29">
        <f t="shared" si="10"/>
        <v>0</v>
      </c>
      <c r="I57" s="29">
        <f t="shared" si="10"/>
        <v>0</v>
      </c>
      <c r="J57" s="29">
        <f t="shared" si="10"/>
        <v>0</v>
      </c>
      <c r="K57" s="29">
        <f t="shared" si="10"/>
        <v>0</v>
      </c>
      <c r="L57" s="29">
        <f t="shared" si="10"/>
        <v>0</v>
      </c>
      <c r="M57" s="29">
        <f t="shared" si="10"/>
        <v>0</v>
      </c>
      <c r="N57" s="29">
        <f t="shared" si="10"/>
        <v>0</v>
      </c>
      <c r="O57" s="29">
        <f t="shared" si="10"/>
        <v>0</v>
      </c>
      <c r="P57" s="29">
        <f t="shared" si="10"/>
        <v>0</v>
      </c>
      <c r="Q57" s="29">
        <f t="shared" si="10"/>
        <v>0</v>
      </c>
      <c r="R57" s="29">
        <f t="shared" si="10"/>
        <v>0</v>
      </c>
      <c r="S57" s="29">
        <f>SUM(C57:N57)</f>
        <v>0</v>
      </c>
      <c r="T57" s="10" t="s">
        <v>49</v>
      </c>
      <c r="U57" s="25"/>
      <c r="V57" s="25"/>
    </row>
    <row r="58" spans="2:22" x14ac:dyDescent="0.2">
      <c r="B58" s="10" t="s">
        <v>83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2:22" x14ac:dyDescent="0.2">
      <c r="B59" s="27" t="s">
        <v>84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5"/>
      <c r="T59" s="25"/>
      <c r="U59" s="25"/>
      <c r="V59" s="25"/>
    </row>
    <row r="60" spans="2:22" x14ac:dyDescent="0.2">
      <c r="B60" s="27" t="s">
        <v>85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5"/>
      <c r="T60" s="25"/>
      <c r="U60" s="25"/>
      <c r="V60" s="25"/>
    </row>
    <row r="61" spans="2:22" x14ac:dyDescent="0.2">
      <c r="B61" s="27" t="s">
        <v>86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5"/>
      <c r="T61" s="25"/>
      <c r="U61" s="25"/>
      <c r="V61" s="25"/>
    </row>
    <row r="62" spans="2:22" x14ac:dyDescent="0.2">
      <c r="B62" s="27" t="s">
        <v>87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5"/>
      <c r="U62" s="25"/>
      <c r="V62" s="25"/>
    </row>
    <row r="63" spans="2:22" x14ac:dyDescent="0.2">
      <c r="B63" s="27" t="s">
        <v>88</v>
      </c>
      <c r="C63" s="29">
        <f>'[1]FY25 Budget Consolidate'!$AJ$152*'[1]Last fiscal year P&amp;L by month'!C89</f>
        <v>4040.8105485124584</v>
      </c>
      <c r="D63" s="29">
        <f>'[1]FY25 Budget Consolidate'!$AJ$152*'[1]Last fiscal year P&amp;L by month'!D89</f>
        <v>732.80041322695763</v>
      </c>
      <c r="E63" s="29">
        <f>'[1]FY25 Budget Consolidate'!$AJ$152*'[1]Last fiscal year P&amp;L by month'!E89</f>
        <v>854.90608338271704</v>
      </c>
      <c r="F63" s="29">
        <f>'[1]FY25 Budget Consolidate'!$AJ$152*'[1]Last fiscal year P&amp;L by month'!F89</f>
        <v>3374.8385344075405</v>
      </c>
      <c r="G63" s="29">
        <f>'[1]FY25 Budget Consolidate'!$AJ$152*'[1]Last fiscal year P&amp;L by month'!G89</f>
        <v>20991.202132981147</v>
      </c>
      <c r="H63" s="29">
        <f>'[1]FY25 Budget Consolidate'!$AJ$152*'[1]Last fiscal year P&amp;L by month'!H89</f>
        <v>13086.911432211269</v>
      </c>
      <c r="I63" s="29">
        <f>'[1]FY25 Budget Consolidate'!$AJ$152*'[1]Last fiscal year P&amp;L by month'!I89</f>
        <v>45932.277047932592</v>
      </c>
      <c r="J63" s="29">
        <f>'[1]FY25 Budget Consolidate'!$AJ$152*'[1]Last fiscal year P&amp;L by month'!J89</f>
        <v>1105.0725162644083</v>
      </c>
      <c r="K63" s="29">
        <f>'[1]FY25 Budget Consolidate'!$AJ$152*'[1]Last fiscal year P&amp;L by month'!K89</f>
        <v>957.99048727021909</v>
      </c>
      <c r="L63" s="29">
        <f>'[1]FY25 Budget Consolidate'!$AJ$152*'[1]Last fiscal year P&amp;L by month'!L89</f>
        <v>-14175.581171440479</v>
      </c>
      <c r="M63" s="29">
        <f>'[1]FY25 Budget Consolidate'!$AJ$152*'[1]Last fiscal year P&amp;L by month'!M89</f>
        <v>28041.497529231983</v>
      </c>
      <c r="N63" s="29">
        <f>'[1]FY25 Budget Consolidate'!$AJ$152*'[1]Last fiscal year P&amp;L by month'!N89</f>
        <v>-11087.725553980814</v>
      </c>
      <c r="O63" s="29">
        <f>'[1]FY25 Budget Consolidate'!$AJ$152*'[1]Last fiscal year P&amp;L by month'!C89</f>
        <v>4040.8105485124584</v>
      </c>
      <c r="P63" s="29">
        <f>'[1]FY25 Budget Consolidate'!$AJ$152*'[1]Last fiscal year P&amp;L by month'!D89</f>
        <v>732.80041322695763</v>
      </c>
      <c r="Q63" s="29">
        <f>'[1]FY25 Budget Consolidate'!$AJ$152*'[1]Last fiscal year P&amp;L by month'!E89</f>
        <v>854.90608338271704</v>
      </c>
      <c r="R63" s="29">
        <f>'[1]FY25 Budget Consolidate'!$AJ$152*'[1]Last fiscal year P&amp;L by month'!F89</f>
        <v>3374.8385344075405</v>
      </c>
      <c r="S63" s="29">
        <f>SUM(C63:N63)</f>
        <v>93855</v>
      </c>
      <c r="T63" s="25"/>
      <c r="U63" s="25"/>
      <c r="V63" s="25"/>
    </row>
    <row r="64" spans="2:22" x14ac:dyDescent="0.2">
      <c r="B64" s="10" t="s">
        <v>89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2:22" x14ac:dyDescent="0.2">
      <c r="B65" s="27" t="s">
        <v>90</v>
      </c>
      <c r="C65" s="28"/>
      <c r="D65" s="28"/>
      <c r="E65" s="28"/>
      <c r="F65" s="28"/>
      <c r="G65" s="28"/>
      <c r="H65" s="28"/>
      <c r="I65" s="28"/>
      <c r="J65" s="28">
        <v>11160</v>
      </c>
      <c r="K65" s="28"/>
      <c r="L65" s="28"/>
      <c r="M65" s="28"/>
      <c r="N65" s="28"/>
      <c r="O65" s="28"/>
      <c r="P65" s="28"/>
      <c r="Q65" s="28"/>
      <c r="R65" s="28"/>
      <c r="S65" s="25"/>
      <c r="T65" s="25" t="s">
        <v>91</v>
      </c>
      <c r="U65" s="25"/>
      <c r="V65" s="25"/>
    </row>
    <row r="66" spans="2:22" x14ac:dyDescent="0.2">
      <c r="B66" s="27" t="s">
        <v>92</v>
      </c>
      <c r="C66" s="28">
        <f>'[1]FY25 Budget Consolidate'!$AJ$164/12</f>
        <v>166.66666666666666</v>
      </c>
      <c r="D66" s="28">
        <f>'[1]FY25 Budget Consolidate'!$AJ$164/12</f>
        <v>166.66666666666666</v>
      </c>
      <c r="E66" s="28">
        <f>'[1]FY25 Budget Consolidate'!$AJ$164/12</f>
        <v>166.66666666666666</v>
      </c>
      <c r="F66" s="28">
        <f>'[1]FY25 Budget Consolidate'!$AJ$164/12</f>
        <v>166.66666666666666</v>
      </c>
      <c r="G66" s="28">
        <f>'[1]FY25 Budget Consolidate'!$AJ$164/12</f>
        <v>166.66666666666666</v>
      </c>
      <c r="H66" s="28">
        <f>'[1]FY25 Budget Consolidate'!$AJ$164/12</f>
        <v>166.66666666666666</v>
      </c>
      <c r="I66" s="28">
        <f>'[1]FY25 Budget Consolidate'!$AJ$164/12</f>
        <v>166.66666666666666</v>
      </c>
      <c r="J66" s="28">
        <f>'[1]FY25 Budget Consolidate'!$AJ$164/12</f>
        <v>166.66666666666666</v>
      </c>
      <c r="K66" s="28">
        <f>'[1]FY25 Budget Consolidate'!$AJ$164/12</f>
        <v>166.66666666666666</v>
      </c>
      <c r="L66" s="28">
        <f>'[1]FY25 Budget Consolidate'!$AJ$164/12</f>
        <v>166.66666666666666</v>
      </c>
      <c r="M66" s="28">
        <f>'[1]FY25 Budget Consolidate'!$AJ$164/12</f>
        <v>166.66666666666666</v>
      </c>
      <c r="N66" s="28">
        <f>'[1]FY25 Budget Consolidate'!$AJ$164/12</f>
        <v>166.66666666666666</v>
      </c>
      <c r="O66" s="28">
        <f>'[1]FY25 Budget Consolidate'!$AJ$164/12</f>
        <v>166.66666666666666</v>
      </c>
      <c r="P66" s="28">
        <f>'[1]FY25 Budget Consolidate'!$AJ$164/12</f>
        <v>166.66666666666666</v>
      </c>
      <c r="Q66" s="28">
        <f>'[1]FY25 Budget Consolidate'!$AJ$164/12</f>
        <v>166.66666666666666</v>
      </c>
      <c r="R66" s="28">
        <f>'[1]FY25 Budget Consolidate'!$AJ$164/12</f>
        <v>166.66666666666666</v>
      </c>
      <c r="S66" s="25"/>
      <c r="T66" s="25" t="s">
        <v>69</v>
      </c>
      <c r="U66" s="25"/>
      <c r="V66" s="25"/>
    </row>
    <row r="67" spans="2:22" x14ac:dyDescent="0.2">
      <c r="B67" s="27" t="s">
        <v>93</v>
      </c>
      <c r="C67" s="28"/>
      <c r="D67" s="28"/>
      <c r="E67" s="28"/>
      <c r="F67" s="28"/>
      <c r="G67" s="28"/>
      <c r="H67" s="28"/>
      <c r="I67" s="28"/>
      <c r="J67" s="28">
        <v>6000</v>
      </c>
      <c r="K67" s="28"/>
      <c r="L67" s="28"/>
      <c r="M67" s="28"/>
      <c r="N67" s="28"/>
      <c r="O67" s="28"/>
      <c r="P67" s="28"/>
      <c r="Q67" s="28"/>
      <c r="R67" s="28"/>
      <c r="S67" s="25"/>
      <c r="T67" s="25" t="s">
        <v>94</v>
      </c>
      <c r="U67" s="25"/>
      <c r="V67" s="25"/>
    </row>
    <row r="68" spans="2:22" x14ac:dyDescent="0.2">
      <c r="B68" s="27" t="s">
        <v>95</v>
      </c>
      <c r="C68" s="29">
        <f>SUM(C64:C67)</f>
        <v>166.66666666666666</v>
      </c>
      <c r="D68" s="29">
        <f t="shared" ref="D68:R68" si="11">SUM(D64:D67)</f>
        <v>166.66666666666666</v>
      </c>
      <c r="E68" s="29">
        <f t="shared" si="11"/>
        <v>166.66666666666666</v>
      </c>
      <c r="F68" s="29">
        <f t="shared" si="11"/>
        <v>166.66666666666666</v>
      </c>
      <c r="G68" s="29">
        <f t="shared" si="11"/>
        <v>166.66666666666666</v>
      </c>
      <c r="H68" s="29">
        <f t="shared" si="11"/>
        <v>166.66666666666666</v>
      </c>
      <c r="I68" s="29">
        <f t="shared" si="11"/>
        <v>166.66666666666666</v>
      </c>
      <c r="J68" s="29">
        <f t="shared" si="11"/>
        <v>17326.666666666664</v>
      </c>
      <c r="K68" s="29">
        <f t="shared" si="11"/>
        <v>166.66666666666666</v>
      </c>
      <c r="L68" s="29">
        <f t="shared" si="11"/>
        <v>166.66666666666666</v>
      </c>
      <c r="M68" s="29">
        <f t="shared" si="11"/>
        <v>166.66666666666666</v>
      </c>
      <c r="N68" s="29">
        <f t="shared" si="11"/>
        <v>166.66666666666666</v>
      </c>
      <c r="O68" s="29">
        <f t="shared" si="11"/>
        <v>166.66666666666666</v>
      </c>
      <c r="P68" s="29">
        <f t="shared" si="11"/>
        <v>166.66666666666666</v>
      </c>
      <c r="Q68" s="29">
        <f t="shared" si="11"/>
        <v>166.66666666666666</v>
      </c>
      <c r="R68" s="29">
        <f t="shared" si="11"/>
        <v>166.66666666666666</v>
      </c>
      <c r="S68" s="29">
        <f>SUM(C68:N68)</f>
        <v>19160.000000000004</v>
      </c>
      <c r="T68" s="25"/>
      <c r="U68" s="25"/>
      <c r="V68" s="25"/>
    </row>
    <row r="69" spans="2:22" x14ac:dyDescent="0.2">
      <c r="B69" s="10" t="s">
        <v>96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2:22" x14ac:dyDescent="0.2">
      <c r="B70" s="27" t="s">
        <v>97</v>
      </c>
      <c r="C70" s="28">
        <f>'[1]FY25 Budget Consolidate'!$AJ$177/12</f>
        <v>500</v>
      </c>
      <c r="D70" s="28">
        <f>'[1]FY25 Budget Consolidate'!$AJ$177/12</f>
        <v>500</v>
      </c>
      <c r="E70" s="28">
        <f>'[1]FY25 Budget Consolidate'!$AJ$177/12</f>
        <v>500</v>
      </c>
      <c r="F70" s="28">
        <f>'[1]FY25 Budget Consolidate'!$AJ$177/12</f>
        <v>500</v>
      </c>
      <c r="G70" s="28">
        <f>'[1]FY25 Budget Consolidate'!$AJ$177/12</f>
        <v>500</v>
      </c>
      <c r="H70" s="28">
        <f>'[1]FY25 Budget Consolidate'!$AJ$177/12</f>
        <v>500</v>
      </c>
      <c r="I70" s="28">
        <f>'[1]FY25 Budget Consolidate'!$AJ$177/12</f>
        <v>500</v>
      </c>
      <c r="J70" s="28">
        <f>'[1]FY25 Budget Consolidate'!$AJ$177/12</f>
        <v>500</v>
      </c>
      <c r="K70" s="28">
        <f>'[1]FY25 Budget Consolidate'!$AJ$177/12</f>
        <v>500</v>
      </c>
      <c r="L70" s="28">
        <f>'[1]FY25 Budget Consolidate'!$AJ$177/12</f>
        <v>500</v>
      </c>
      <c r="M70" s="28">
        <f>'[1]FY25 Budget Consolidate'!$AJ$177/12</f>
        <v>500</v>
      </c>
      <c r="N70" s="28">
        <f>'[1]FY25 Budget Consolidate'!$AJ$177/12</f>
        <v>500</v>
      </c>
      <c r="O70" s="28">
        <f>'[1]FY25 Budget Consolidate'!$AJ$177/12</f>
        <v>500</v>
      </c>
      <c r="P70" s="28">
        <f>'[1]FY25 Budget Consolidate'!$AJ$177/12</f>
        <v>500</v>
      </c>
      <c r="Q70" s="28">
        <f>'[1]FY25 Budget Consolidate'!$AJ$177/12</f>
        <v>500</v>
      </c>
      <c r="R70" s="28">
        <f>'[1]FY25 Budget Consolidate'!$AJ$177/12</f>
        <v>500</v>
      </c>
      <c r="S70" s="25"/>
      <c r="T70" s="25" t="s">
        <v>69</v>
      </c>
      <c r="U70" s="25"/>
      <c r="V70" s="25"/>
    </row>
    <row r="71" spans="2:22" x14ac:dyDescent="0.2">
      <c r="B71" s="27" t="s">
        <v>98</v>
      </c>
      <c r="C71" s="28">
        <f>'[1]FY25 Budget Consolidate'!$AJ$178/12</f>
        <v>1083.3333333333333</v>
      </c>
      <c r="D71" s="28">
        <f>'[1]FY25 Budget Consolidate'!$AJ$178/12</f>
        <v>1083.3333333333333</v>
      </c>
      <c r="E71" s="28">
        <f>'[1]FY25 Budget Consolidate'!$AJ$178/12</f>
        <v>1083.3333333333333</v>
      </c>
      <c r="F71" s="28">
        <f>'[1]FY25 Budget Consolidate'!$AJ$178/12</f>
        <v>1083.3333333333333</v>
      </c>
      <c r="G71" s="28">
        <f>'[1]FY25 Budget Consolidate'!$AJ$178/12</f>
        <v>1083.3333333333333</v>
      </c>
      <c r="H71" s="28">
        <f>'[1]FY25 Budget Consolidate'!$AJ$178/12</f>
        <v>1083.3333333333333</v>
      </c>
      <c r="I71" s="28">
        <f>'[1]FY25 Budget Consolidate'!$AJ$178/12</f>
        <v>1083.3333333333333</v>
      </c>
      <c r="J71" s="28">
        <f>'[1]FY25 Budget Consolidate'!$AJ$178/12</f>
        <v>1083.3333333333333</v>
      </c>
      <c r="K71" s="28">
        <f>'[1]FY25 Budget Consolidate'!$AJ$178/12</f>
        <v>1083.3333333333333</v>
      </c>
      <c r="L71" s="28">
        <f>'[1]FY25 Budget Consolidate'!$AJ$178/12</f>
        <v>1083.3333333333333</v>
      </c>
      <c r="M71" s="28">
        <f>'[1]FY25 Budget Consolidate'!$AJ$178/12</f>
        <v>1083.3333333333333</v>
      </c>
      <c r="N71" s="28">
        <f>'[1]FY25 Budget Consolidate'!$AJ$178/12</f>
        <v>1083.3333333333333</v>
      </c>
      <c r="O71" s="28">
        <f>'[1]FY25 Budget Consolidate'!$AJ$178/12</f>
        <v>1083.3333333333333</v>
      </c>
      <c r="P71" s="28">
        <f>'[1]FY25 Budget Consolidate'!$AJ$178/12</f>
        <v>1083.3333333333333</v>
      </c>
      <c r="Q71" s="28">
        <f>'[1]FY25 Budget Consolidate'!$AJ$178/12</f>
        <v>1083.3333333333333</v>
      </c>
      <c r="R71" s="28">
        <f>'[1]FY25 Budget Consolidate'!$AJ$178/12</f>
        <v>1083.3333333333333</v>
      </c>
      <c r="S71" s="25"/>
      <c r="T71" s="25" t="s">
        <v>69</v>
      </c>
      <c r="U71" s="25"/>
      <c r="V71" s="25"/>
    </row>
    <row r="72" spans="2:22" x14ac:dyDescent="0.2">
      <c r="B72" s="27" t="s">
        <v>99</v>
      </c>
      <c r="C72" s="29">
        <f>SUM(C69:C71)</f>
        <v>1583.3333333333333</v>
      </c>
      <c r="D72" s="29">
        <f t="shared" ref="D72:R72" si="12">SUM(D69:D71)</f>
        <v>1583.3333333333333</v>
      </c>
      <c r="E72" s="29">
        <f t="shared" si="12"/>
        <v>1583.3333333333333</v>
      </c>
      <c r="F72" s="29">
        <f t="shared" si="12"/>
        <v>1583.3333333333333</v>
      </c>
      <c r="G72" s="29">
        <f t="shared" si="12"/>
        <v>1583.3333333333333</v>
      </c>
      <c r="H72" s="29">
        <f t="shared" si="12"/>
        <v>1583.3333333333333</v>
      </c>
      <c r="I72" s="29">
        <f t="shared" si="12"/>
        <v>1583.3333333333333</v>
      </c>
      <c r="J72" s="29">
        <f t="shared" si="12"/>
        <v>1583.3333333333333</v>
      </c>
      <c r="K72" s="29">
        <f t="shared" si="12"/>
        <v>1583.3333333333333</v>
      </c>
      <c r="L72" s="29">
        <f t="shared" si="12"/>
        <v>1583.3333333333333</v>
      </c>
      <c r="M72" s="29">
        <f t="shared" si="12"/>
        <v>1583.3333333333333</v>
      </c>
      <c r="N72" s="29">
        <f t="shared" si="12"/>
        <v>1583.3333333333333</v>
      </c>
      <c r="O72" s="29">
        <f t="shared" si="12"/>
        <v>1583.3333333333333</v>
      </c>
      <c r="P72" s="29">
        <f t="shared" si="12"/>
        <v>1583.3333333333333</v>
      </c>
      <c r="Q72" s="29">
        <f t="shared" si="12"/>
        <v>1583.3333333333333</v>
      </c>
      <c r="R72" s="29">
        <f t="shared" si="12"/>
        <v>1583.3333333333333</v>
      </c>
      <c r="S72" s="29">
        <f>SUM(C72:N72)</f>
        <v>19000</v>
      </c>
      <c r="T72" s="25"/>
      <c r="U72" s="25"/>
      <c r="V72" s="25"/>
    </row>
    <row r="73" spans="2:22" x14ac:dyDescent="0.2">
      <c r="B73" s="10" t="s">
        <v>100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2:22" x14ac:dyDescent="0.2">
      <c r="B74" s="27" t="s">
        <v>101</v>
      </c>
      <c r="C74" s="28">
        <f>'[1]FY25 Budget Consolidate'!$AJ$181/12</f>
        <v>250</v>
      </c>
      <c r="D74" s="28">
        <f>'[1]FY25 Budget Consolidate'!$AJ$181/12</f>
        <v>250</v>
      </c>
      <c r="E74" s="28">
        <f>'[1]FY25 Budget Consolidate'!$AJ$181/12</f>
        <v>250</v>
      </c>
      <c r="F74" s="28">
        <f>'[1]FY25 Budget Consolidate'!$AJ$181/12</f>
        <v>250</v>
      </c>
      <c r="G74" s="28">
        <f>'[1]FY25 Budget Consolidate'!$AJ$181/12</f>
        <v>250</v>
      </c>
      <c r="H74" s="28">
        <f>'[1]FY25 Budget Consolidate'!$AJ$181/12</f>
        <v>250</v>
      </c>
      <c r="I74" s="28">
        <f>'[1]FY25 Budget Consolidate'!$AJ$181/12</f>
        <v>250</v>
      </c>
      <c r="J74" s="28">
        <f>'[1]FY25 Budget Consolidate'!$AJ$181/12</f>
        <v>250</v>
      </c>
      <c r="K74" s="28">
        <f>'[1]FY25 Budget Consolidate'!$AJ$181/12</f>
        <v>250</v>
      </c>
      <c r="L74" s="28">
        <f>'[1]FY25 Budget Consolidate'!$AJ$181/12</f>
        <v>250</v>
      </c>
      <c r="M74" s="28">
        <f>'[1]FY25 Budget Consolidate'!$AJ$181/12</f>
        <v>250</v>
      </c>
      <c r="N74" s="28">
        <f>'[1]FY25 Budget Consolidate'!$AJ$181/12</f>
        <v>250</v>
      </c>
      <c r="O74" s="28">
        <f>'[1]FY25 Budget Consolidate'!$AJ$181/12</f>
        <v>250</v>
      </c>
      <c r="P74" s="28">
        <f>'[1]FY25 Budget Consolidate'!$AJ$181/12</f>
        <v>250</v>
      </c>
      <c r="Q74" s="28">
        <f>'[1]FY25 Budget Consolidate'!$AJ$181/12</f>
        <v>250</v>
      </c>
      <c r="R74" s="28">
        <f>'[1]FY25 Budget Consolidate'!$AJ$181/12</f>
        <v>250</v>
      </c>
      <c r="S74" s="25"/>
      <c r="T74" s="25" t="s">
        <v>69</v>
      </c>
      <c r="U74" s="25"/>
      <c r="V74" s="25"/>
    </row>
    <row r="75" spans="2:22" x14ac:dyDescent="0.2">
      <c r="B75" s="27" t="s">
        <v>102</v>
      </c>
      <c r="C75" s="28">
        <f>'[1]FY25 Budget Consolidate'!$AJ$185/12</f>
        <v>83.333333333333329</v>
      </c>
      <c r="D75" s="28">
        <f>'[1]FY25 Budget Consolidate'!$AJ$185/12</f>
        <v>83.333333333333329</v>
      </c>
      <c r="E75" s="28">
        <f>'[1]FY25 Budget Consolidate'!$AJ$185/12</f>
        <v>83.333333333333329</v>
      </c>
      <c r="F75" s="28">
        <f>'[1]FY25 Budget Consolidate'!$AJ$185/12</f>
        <v>83.333333333333329</v>
      </c>
      <c r="G75" s="28">
        <f>'[1]FY25 Budget Consolidate'!$AJ$185/12</f>
        <v>83.333333333333329</v>
      </c>
      <c r="H75" s="28">
        <f>'[1]FY25 Budget Consolidate'!$AJ$185/12</f>
        <v>83.333333333333329</v>
      </c>
      <c r="I75" s="28">
        <f>'[1]FY25 Budget Consolidate'!$AJ$185/12</f>
        <v>83.333333333333329</v>
      </c>
      <c r="J75" s="28">
        <f>'[1]FY25 Budget Consolidate'!$AJ$185/12</f>
        <v>83.333333333333329</v>
      </c>
      <c r="K75" s="28">
        <f>'[1]FY25 Budget Consolidate'!$AJ$185/12</f>
        <v>83.333333333333329</v>
      </c>
      <c r="L75" s="28">
        <f>'[1]FY25 Budget Consolidate'!$AJ$185/12</f>
        <v>83.333333333333329</v>
      </c>
      <c r="M75" s="28">
        <f>'[1]FY25 Budget Consolidate'!$AJ$185/12</f>
        <v>83.333333333333329</v>
      </c>
      <c r="N75" s="28">
        <f>'[1]FY25 Budget Consolidate'!$AJ$185/12</f>
        <v>83.333333333333329</v>
      </c>
      <c r="O75" s="28">
        <f>'[1]FY25 Budget Consolidate'!$AJ$185/12</f>
        <v>83.333333333333329</v>
      </c>
      <c r="P75" s="28">
        <f>'[1]FY25 Budget Consolidate'!$AJ$185/12</f>
        <v>83.333333333333329</v>
      </c>
      <c r="Q75" s="28">
        <f>'[1]FY25 Budget Consolidate'!$AJ$185/12</f>
        <v>83.333333333333329</v>
      </c>
      <c r="R75" s="28">
        <f>'[1]FY25 Budget Consolidate'!$AJ$185/12</f>
        <v>83.333333333333329</v>
      </c>
      <c r="S75" s="25"/>
      <c r="T75" s="25" t="s">
        <v>69</v>
      </c>
      <c r="U75" s="25"/>
      <c r="V75" s="25"/>
    </row>
    <row r="76" spans="2:22" x14ac:dyDescent="0.2">
      <c r="B76" s="27" t="s">
        <v>103</v>
      </c>
      <c r="C76" s="28">
        <f>'[1]FY25 Budget Consolidate'!$AJ$186/12</f>
        <v>100</v>
      </c>
      <c r="D76" s="28">
        <f>'[1]FY25 Budget Consolidate'!$AJ$186/12</f>
        <v>100</v>
      </c>
      <c r="E76" s="28">
        <f>'[1]FY25 Budget Consolidate'!$AJ$186/12</f>
        <v>100</v>
      </c>
      <c r="F76" s="28">
        <f>'[1]FY25 Budget Consolidate'!$AJ$186/12</f>
        <v>100</v>
      </c>
      <c r="G76" s="28">
        <f>'[1]FY25 Budget Consolidate'!$AJ$186/12</f>
        <v>100</v>
      </c>
      <c r="H76" s="28">
        <f>'[1]FY25 Budget Consolidate'!$AJ$186/12</f>
        <v>100</v>
      </c>
      <c r="I76" s="28">
        <f>'[1]FY25 Budget Consolidate'!$AJ$186/12</f>
        <v>100</v>
      </c>
      <c r="J76" s="28">
        <f>'[1]FY25 Budget Consolidate'!$AJ$186/12</f>
        <v>100</v>
      </c>
      <c r="K76" s="28">
        <f>'[1]FY25 Budget Consolidate'!$AJ$186/12</f>
        <v>100</v>
      </c>
      <c r="L76" s="28">
        <f>'[1]FY25 Budget Consolidate'!$AJ$186/12</f>
        <v>100</v>
      </c>
      <c r="M76" s="28">
        <f>'[1]FY25 Budget Consolidate'!$AJ$186/12</f>
        <v>100</v>
      </c>
      <c r="N76" s="28">
        <f>'[1]FY25 Budget Consolidate'!$AJ$186/12</f>
        <v>100</v>
      </c>
      <c r="O76" s="28">
        <f>'[1]FY25 Budget Consolidate'!$AJ$186/12</f>
        <v>100</v>
      </c>
      <c r="P76" s="28">
        <f>'[1]FY25 Budget Consolidate'!$AJ$186/12</f>
        <v>100</v>
      </c>
      <c r="Q76" s="28">
        <f>'[1]FY25 Budget Consolidate'!$AJ$186/12</f>
        <v>100</v>
      </c>
      <c r="R76" s="28">
        <f>'[1]FY25 Budget Consolidate'!$AJ$186/12</f>
        <v>100</v>
      </c>
      <c r="S76" s="25"/>
      <c r="T76" s="25" t="s">
        <v>69</v>
      </c>
      <c r="U76" s="25"/>
      <c r="V76" s="25"/>
    </row>
    <row r="77" spans="2:22" x14ac:dyDescent="0.2">
      <c r="B77" s="27" t="s">
        <v>104</v>
      </c>
      <c r="C77" s="28">
        <f>'[1]FY25 Budget Consolidate'!$AJ$190/12</f>
        <v>250</v>
      </c>
      <c r="D77" s="28">
        <f>'[1]FY25 Budget Consolidate'!$AJ$190/12</f>
        <v>250</v>
      </c>
      <c r="E77" s="28">
        <f>'[1]FY25 Budget Consolidate'!$AJ$190/12</f>
        <v>250</v>
      </c>
      <c r="F77" s="28">
        <f>'[1]FY25 Budget Consolidate'!$AJ$190/12</f>
        <v>250</v>
      </c>
      <c r="G77" s="28">
        <f>'[1]FY25 Budget Consolidate'!$AJ$190/12</f>
        <v>250</v>
      </c>
      <c r="H77" s="28">
        <f>'[1]FY25 Budget Consolidate'!$AJ$190/12</f>
        <v>250</v>
      </c>
      <c r="I77" s="28">
        <f>'[1]FY25 Budget Consolidate'!$AJ$190/12</f>
        <v>250</v>
      </c>
      <c r="J77" s="28">
        <f>'[1]FY25 Budget Consolidate'!$AJ$190/12</f>
        <v>250</v>
      </c>
      <c r="K77" s="28">
        <f>'[1]FY25 Budget Consolidate'!$AJ$190/12</f>
        <v>250</v>
      </c>
      <c r="L77" s="28">
        <f>'[1]FY25 Budget Consolidate'!$AJ$190/12</f>
        <v>250</v>
      </c>
      <c r="M77" s="28">
        <f>'[1]FY25 Budget Consolidate'!$AJ$190/12</f>
        <v>250</v>
      </c>
      <c r="N77" s="28">
        <f>'[1]FY25 Budget Consolidate'!$AJ$190/12</f>
        <v>250</v>
      </c>
      <c r="O77" s="28">
        <f>'[1]FY25 Budget Consolidate'!$AJ$190/12</f>
        <v>250</v>
      </c>
      <c r="P77" s="28">
        <f>'[1]FY25 Budget Consolidate'!$AJ$190/12</f>
        <v>250</v>
      </c>
      <c r="Q77" s="28">
        <f>'[1]FY25 Budget Consolidate'!$AJ$190/12</f>
        <v>250</v>
      </c>
      <c r="R77" s="28">
        <f>'[1]FY25 Budget Consolidate'!$AJ$190/12</f>
        <v>250</v>
      </c>
      <c r="S77" s="25"/>
      <c r="T77" s="25" t="s">
        <v>69</v>
      </c>
      <c r="U77" s="25"/>
      <c r="V77" s="25"/>
    </row>
    <row r="78" spans="2:22" x14ac:dyDescent="0.2">
      <c r="B78" s="27" t="s">
        <v>105</v>
      </c>
      <c r="C78" s="28">
        <f>'[1]FY25 Budget Consolidate'!$AJ$191/12</f>
        <v>300</v>
      </c>
      <c r="D78" s="28">
        <f>'[1]FY25 Budget Consolidate'!$AJ$191/12</f>
        <v>300</v>
      </c>
      <c r="E78" s="28">
        <f>'[1]FY25 Budget Consolidate'!$AJ$191/12</f>
        <v>300</v>
      </c>
      <c r="F78" s="28">
        <f>'[1]FY25 Budget Consolidate'!$AJ$191/12</f>
        <v>300</v>
      </c>
      <c r="G78" s="28">
        <f>'[1]FY25 Budget Consolidate'!$AJ$191/12</f>
        <v>300</v>
      </c>
      <c r="H78" s="28">
        <f>'[1]FY25 Budget Consolidate'!$AJ$191/12</f>
        <v>300</v>
      </c>
      <c r="I78" s="28">
        <f>'[1]FY25 Budget Consolidate'!$AJ$191/12</f>
        <v>300</v>
      </c>
      <c r="J78" s="28">
        <f>'[1]FY25 Budget Consolidate'!$AJ$191/12</f>
        <v>300</v>
      </c>
      <c r="K78" s="28">
        <f>'[1]FY25 Budget Consolidate'!$AJ$191/12</f>
        <v>300</v>
      </c>
      <c r="L78" s="28">
        <f>'[1]FY25 Budget Consolidate'!$AJ$191/12</f>
        <v>300</v>
      </c>
      <c r="M78" s="28">
        <f>'[1]FY25 Budget Consolidate'!$AJ$191/12</f>
        <v>300</v>
      </c>
      <c r="N78" s="28">
        <f>'[1]FY25 Budget Consolidate'!$AJ$191/12</f>
        <v>300</v>
      </c>
      <c r="O78" s="28">
        <f>'[1]FY25 Budget Consolidate'!$AJ$191/12</f>
        <v>300</v>
      </c>
      <c r="P78" s="28">
        <f>'[1]FY25 Budget Consolidate'!$AJ$191/12</f>
        <v>300</v>
      </c>
      <c r="Q78" s="28">
        <f>'[1]FY25 Budget Consolidate'!$AJ$191/12</f>
        <v>300</v>
      </c>
      <c r="R78" s="28">
        <f>'[1]FY25 Budget Consolidate'!$AJ$191/12</f>
        <v>300</v>
      </c>
      <c r="S78" s="25"/>
      <c r="T78" s="25" t="s">
        <v>69</v>
      </c>
      <c r="V78" s="25"/>
    </row>
    <row r="79" spans="2:22" x14ac:dyDescent="0.2">
      <c r="B79" s="27" t="s">
        <v>106</v>
      </c>
      <c r="C79" s="29">
        <f>SUM(C73:C78)</f>
        <v>983.33333333333326</v>
      </c>
      <c r="D79" s="29">
        <f t="shared" ref="D79:R79" si="13">SUM(D73:D78)</f>
        <v>983.33333333333326</v>
      </c>
      <c r="E79" s="29">
        <f t="shared" si="13"/>
        <v>983.33333333333326</v>
      </c>
      <c r="F79" s="29">
        <f t="shared" si="13"/>
        <v>983.33333333333326</v>
      </c>
      <c r="G79" s="29">
        <f t="shared" si="13"/>
        <v>983.33333333333326</v>
      </c>
      <c r="H79" s="29">
        <f t="shared" si="13"/>
        <v>983.33333333333326</v>
      </c>
      <c r="I79" s="29">
        <f t="shared" si="13"/>
        <v>983.33333333333326</v>
      </c>
      <c r="J79" s="29">
        <f t="shared" si="13"/>
        <v>983.33333333333326</v>
      </c>
      <c r="K79" s="29">
        <f t="shared" si="13"/>
        <v>983.33333333333326</v>
      </c>
      <c r="L79" s="29">
        <f t="shared" si="13"/>
        <v>983.33333333333326</v>
      </c>
      <c r="M79" s="29">
        <f t="shared" si="13"/>
        <v>983.33333333333326</v>
      </c>
      <c r="N79" s="29">
        <f t="shared" si="13"/>
        <v>983.33333333333326</v>
      </c>
      <c r="O79" s="29">
        <f t="shared" si="13"/>
        <v>983.33333333333326</v>
      </c>
      <c r="P79" s="29">
        <f t="shared" si="13"/>
        <v>983.33333333333326</v>
      </c>
      <c r="Q79" s="29">
        <f t="shared" si="13"/>
        <v>983.33333333333326</v>
      </c>
      <c r="R79" s="29">
        <f t="shared" si="13"/>
        <v>983.33333333333326</v>
      </c>
      <c r="S79" s="29">
        <f>SUM(C79:N79)</f>
        <v>11800</v>
      </c>
      <c r="T79" s="25"/>
      <c r="U79" s="25" t="s">
        <v>107</v>
      </c>
      <c r="V79" s="25"/>
    </row>
    <row r="80" spans="2:22" x14ac:dyDescent="0.2">
      <c r="B80" s="10" t="s">
        <v>108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2:22" x14ac:dyDescent="0.2">
      <c r="B81" s="27" t="s">
        <v>109</v>
      </c>
      <c r="C81" s="28">
        <f>'[1]FY25 Budget Consolidate'!$AJ$203*'[1]Last fiscal year P&amp;L by month'!C109-9000</f>
        <v>9701.1769607332535</v>
      </c>
      <c r="D81" s="28">
        <f>'[1]FY25 Budget Consolidate'!$AJ$203*'[1]Last fiscal year P&amp;L by month'!D109</f>
        <v>9697.4273513175722</v>
      </c>
      <c r="E81" s="28">
        <f>'[1]FY25 Budget Consolidate'!$AJ$203*'[1]Last fiscal year P&amp;L by month'!E109</f>
        <v>984.27247161753985</v>
      </c>
      <c r="F81" s="28">
        <f>'[1]FY25 Budget Consolidate'!$AJ$203*'[1]Last fiscal year P&amp;L by month'!F109</f>
        <v>0</v>
      </c>
      <c r="G81" s="28">
        <f>'[1]FY25 Budget Consolidate'!$AJ$203*'[1]Last fiscal year P&amp;L by month'!G109</f>
        <v>0</v>
      </c>
      <c r="H81" s="28">
        <f>'[1]FY25 Budget Consolidate'!$AJ$203*'[1]Last fiscal year P&amp;L by month'!H109</f>
        <v>0</v>
      </c>
      <c r="I81" s="28">
        <f>'[1]FY25 Budget Consolidate'!$AJ$203*'[1]Last fiscal year P&amp;L by month'!I109</f>
        <v>0</v>
      </c>
      <c r="J81" s="28">
        <f>'[1]FY25 Budget Consolidate'!$AJ$203*'[1]Last fiscal year P&amp;L by month'!J109</f>
        <v>4648.5782730965529</v>
      </c>
      <c r="K81" s="28">
        <f>'[1]FY25 Budget Consolidate'!$AJ$203*'[1]Last fiscal year P&amp;L by month'!K109</f>
        <v>0</v>
      </c>
      <c r="L81" s="28">
        <f>'[1]FY25 Budget Consolidate'!$AJ$203*'[1]Last fiscal year P&amp;L by month'!L109</f>
        <v>0</v>
      </c>
      <c r="M81" s="28">
        <f>'[1]FY25 Budget Consolidate'!$AJ$203*'[1]Last fiscal year P&amp;L by month'!M109</f>
        <v>0</v>
      </c>
      <c r="N81" s="28">
        <f>'[1]FY25 Budget Consolidate'!$AJ$203*'[1]Last fiscal year P&amp;L by month'!N109</f>
        <v>1968.5449432350797</v>
      </c>
      <c r="O81" s="28">
        <f>C81</f>
        <v>9701.1769607332535</v>
      </c>
      <c r="P81" s="28">
        <f>D81</f>
        <v>9697.4273513175722</v>
      </c>
      <c r="Q81" s="28">
        <f>E81</f>
        <v>984.27247161753985</v>
      </c>
      <c r="R81" s="28">
        <f>F81</f>
        <v>0</v>
      </c>
      <c r="S81" s="25"/>
      <c r="T81" s="37" t="s">
        <v>110</v>
      </c>
      <c r="U81" s="37"/>
      <c r="V81" s="25"/>
    </row>
    <row r="82" spans="2:22" x14ac:dyDescent="0.2">
      <c r="B82" s="27" t="s">
        <v>111</v>
      </c>
      <c r="C82" s="28">
        <f>'[1]FY25 Budget Consolidate'!$AJ$204/12</f>
        <v>191.66666666666666</v>
      </c>
      <c r="D82" s="28">
        <f>'[1]FY25 Budget Consolidate'!$AJ$204/12</f>
        <v>191.66666666666666</v>
      </c>
      <c r="E82" s="28">
        <f>'[1]FY25 Budget Consolidate'!$AJ$204/12</f>
        <v>191.66666666666666</v>
      </c>
      <c r="F82" s="28">
        <f>'[1]FY25 Budget Consolidate'!$AJ$204/12</f>
        <v>191.66666666666666</v>
      </c>
      <c r="G82" s="28">
        <f>'[1]FY25 Budget Consolidate'!$AJ$204/12</f>
        <v>191.66666666666666</v>
      </c>
      <c r="H82" s="28">
        <f>'[1]FY25 Budget Consolidate'!$AJ$204/12</f>
        <v>191.66666666666666</v>
      </c>
      <c r="I82" s="28">
        <f>'[1]FY25 Budget Consolidate'!$AJ$204/12</f>
        <v>191.66666666666666</v>
      </c>
      <c r="J82" s="28">
        <f>'[1]FY25 Budget Consolidate'!$AJ$204/12</f>
        <v>191.66666666666666</v>
      </c>
      <c r="K82" s="28">
        <f>'[1]FY25 Budget Consolidate'!$AJ$204/12</f>
        <v>191.66666666666666</v>
      </c>
      <c r="L82" s="28">
        <f>'[1]FY25 Budget Consolidate'!$AJ$204/12</f>
        <v>191.66666666666666</v>
      </c>
      <c r="M82" s="28">
        <f>'[1]FY25 Budget Consolidate'!$AJ$204/12</f>
        <v>191.66666666666666</v>
      </c>
      <c r="N82" s="28">
        <f>'[1]FY25 Budget Consolidate'!$AJ$204/12</f>
        <v>191.66666666666666</v>
      </c>
      <c r="O82" s="28">
        <f>'[1]FY25 Budget Consolidate'!$AJ$204/12</f>
        <v>191.66666666666666</v>
      </c>
      <c r="P82" s="28">
        <f>'[1]FY25 Budget Consolidate'!$AJ$204/12</f>
        <v>191.66666666666666</v>
      </c>
      <c r="Q82" s="28">
        <f>'[1]FY25 Budget Consolidate'!$AJ$204/12</f>
        <v>191.66666666666666</v>
      </c>
      <c r="R82" s="28">
        <f>'[1]FY25 Budget Consolidate'!$AJ$204/12</f>
        <v>191.66666666666666</v>
      </c>
      <c r="S82" s="25"/>
      <c r="T82" s="25" t="s">
        <v>69</v>
      </c>
      <c r="U82" s="25"/>
      <c r="V82" s="25"/>
    </row>
    <row r="83" spans="2:22" x14ac:dyDescent="0.2">
      <c r="B83" s="27" t="s">
        <v>112</v>
      </c>
      <c r="C83" s="28">
        <f>'[1]FY25 Budget Consolidate'!$AJ$205/12</f>
        <v>41.666666666666664</v>
      </c>
      <c r="D83" s="28">
        <f>'[1]FY25 Budget Consolidate'!$AJ$205/12</f>
        <v>41.666666666666664</v>
      </c>
      <c r="E83" s="28">
        <f>'[1]FY25 Budget Consolidate'!$AJ$205/12</f>
        <v>41.666666666666664</v>
      </c>
      <c r="F83" s="28">
        <f>'[1]FY25 Budget Consolidate'!$AJ$205/12</f>
        <v>41.666666666666664</v>
      </c>
      <c r="G83" s="28">
        <f>'[1]FY25 Budget Consolidate'!$AJ$205/12</f>
        <v>41.666666666666664</v>
      </c>
      <c r="H83" s="28">
        <f>'[1]FY25 Budget Consolidate'!$AJ$205/12</f>
        <v>41.666666666666664</v>
      </c>
      <c r="I83" s="28">
        <f>'[1]FY25 Budget Consolidate'!$AJ$205/12</f>
        <v>41.666666666666664</v>
      </c>
      <c r="J83" s="28">
        <f>'[1]FY25 Budget Consolidate'!$AJ$205/12</f>
        <v>41.666666666666664</v>
      </c>
      <c r="K83" s="28">
        <f>'[1]FY25 Budget Consolidate'!$AJ$205/12</f>
        <v>41.666666666666664</v>
      </c>
      <c r="L83" s="28">
        <f>'[1]FY25 Budget Consolidate'!$AJ$205/12</f>
        <v>41.666666666666664</v>
      </c>
      <c r="M83" s="28">
        <f>'[1]FY25 Budget Consolidate'!$AJ$205/12</f>
        <v>41.666666666666664</v>
      </c>
      <c r="N83" s="28">
        <f>'[1]FY25 Budget Consolidate'!$AJ$205/12</f>
        <v>41.666666666666664</v>
      </c>
      <c r="O83" s="28">
        <f>'[1]FY25 Budget Consolidate'!$AJ$205/12</f>
        <v>41.666666666666664</v>
      </c>
      <c r="P83" s="28">
        <f>'[1]FY25 Budget Consolidate'!$AJ$205/12</f>
        <v>41.666666666666664</v>
      </c>
      <c r="Q83" s="28">
        <f>'[1]FY25 Budget Consolidate'!$AJ$205/12</f>
        <v>41.666666666666664</v>
      </c>
      <c r="R83" s="28">
        <f>'[1]FY25 Budget Consolidate'!$AJ$205/12</f>
        <v>41.666666666666664</v>
      </c>
      <c r="S83" s="25"/>
      <c r="T83" s="25" t="s">
        <v>69</v>
      </c>
      <c r="U83" s="25"/>
      <c r="V83" s="25"/>
    </row>
    <row r="84" spans="2:22" x14ac:dyDescent="0.2">
      <c r="B84" s="27" t="s">
        <v>113</v>
      </c>
      <c r="C84" s="28">
        <f>'[1]FY25 Budget Consolidate'!$AJ$207/12</f>
        <v>100</v>
      </c>
      <c r="D84" s="28">
        <f>'[1]FY25 Budget Consolidate'!$AJ$207/12</f>
        <v>100</v>
      </c>
      <c r="E84" s="28">
        <f>'[1]FY25 Budget Consolidate'!$AJ$207/12</f>
        <v>100</v>
      </c>
      <c r="F84" s="28">
        <f>'[1]FY25 Budget Consolidate'!$AJ$207/12</f>
        <v>100</v>
      </c>
      <c r="G84" s="28">
        <f>'[1]FY25 Budget Consolidate'!$AJ$207/12</f>
        <v>100</v>
      </c>
      <c r="H84" s="28">
        <f>'[1]FY25 Budget Consolidate'!$AJ$207/12</f>
        <v>100</v>
      </c>
      <c r="I84" s="28">
        <f>'[1]FY25 Budget Consolidate'!$AJ$207/12</f>
        <v>100</v>
      </c>
      <c r="J84" s="28">
        <f>'[1]FY25 Budget Consolidate'!$AJ$207/12</f>
        <v>100</v>
      </c>
      <c r="K84" s="28">
        <f>'[1]FY25 Budget Consolidate'!$AJ$207/12</f>
        <v>100</v>
      </c>
      <c r="L84" s="28">
        <f>'[1]FY25 Budget Consolidate'!$AJ$207/12</f>
        <v>100</v>
      </c>
      <c r="M84" s="28">
        <f>'[1]FY25 Budget Consolidate'!$AJ$207/12</f>
        <v>100</v>
      </c>
      <c r="N84" s="28">
        <f>'[1]FY25 Budget Consolidate'!$AJ$207/12</f>
        <v>100</v>
      </c>
      <c r="O84" s="28">
        <f>'[1]FY25 Budget Consolidate'!$AJ$207/12</f>
        <v>100</v>
      </c>
      <c r="P84" s="28">
        <f>'[1]FY25 Budget Consolidate'!$AJ$207/12</f>
        <v>100</v>
      </c>
      <c r="Q84" s="28">
        <f>'[1]FY25 Budget Consolidate'!$AJ$207/12</f>
        <v>100</v>
      </c>
      <c r="R84" s="28">
        <f>'[1]FY25 Budget Consolidate'!$AJ$207/12</f>
        <v>100</v>
      </c>
      <c r="S84" s="25"/>
      <c r="T84" s="25" t="s">
        <v>69</v>
      </c>
      <c r="U84" s="25"/>
      <c r="V84" s="25"/>
    </row>
    <row r="85" spans="2:22" x14ac:dyDescent="0.2">
      <c r="B85" s="27" t="s">
        <v>114</v>
      </c>
      <c r="C85" s="28">
        <f>'[1]FY25 Budget Consolidate'!$AJ$209/12</f>
        <v>83.333333333333329</v>
      </c>
      <c r="D85" s="28">
        <f>'[1]FY25 Budget Consolidate'!$AJ$209/12</f>
        <v>83.333333333333329</v>
      </c>
      <c r="E85" s="28">
        <f>'[1]FY25 Budget Consolidate'!$AJ$209/12</f>
        <v>83.333333333333329</v>
      </c>
      <c r="F85" s="28">
        <f>'[1]FY25 Budget Consolidate'!$AJ$209/12</f>
        <v>83.333333333333329</v>
      </c>
      <c r="G85" s="28">
        <f>'[1]FY25 Budget Consolidate'!$AJ$209/12</f>
        <v>83.333333333333329</v>
      </c>
      <c r="H85" s="28">
        <f>'[1]FY25 Budget Consolidate'!$AJ$209/12</f>
        <v>83.333333333333329</v>
      </c>
      <c r="I85" s="28">
        <f>'[1]FY25 Budget Consolidate'!$AJ$209/12</f>
        <v>83.333333333333329</v>
      </c>
      <c r="J85" s="28">
        <f>'[1]FY25 Budget Consolidate'!$AJ$209/12</f>
        <v>83.333333333333329</v>
      </c>
      <c r="K85" s="28">
        <f>'[1]FY25 Budget Consolidate'!$AJ$209/12</f>
        <v>83.333333333333329</v>
      </c>
      <c r="L85" s="28">
        <f>'[1]FY25 Budget Consolidate'!$AJ$209/12</f>
        <v>83.333333333333329</v>
      </c>
      <c r="M85" s="28">
        <f>'[1]FY25 Budget Consolidate'!$AJ$209/12</f>
        <v>83.333333333333329</v>
      </c>
      <c r="N85" s="28">
        <f>'[1]FY25 Budget Consolidate'!$AJ$209/12</f>
        <v>83.333333333333329</v>
      </c>
      <c r="O85" s="28">
        <f>'[1]FY25 Budget Consolidate'!$AJ$209/12</f>
        <v>83.333333333333329</v>
      </c>
      <c r="P85" s="28">
        <f>'[1]FY25 Budget Consolidate'!$AJ$209/12</f>
        <v>83.333333333333329</v>
      </c>
      <c r="Q85" s="28">
        <f>'[1]FY25 Budget Consolidate'!$AJ$209/12</f>
        <v>83.333333333333329</v>
      </c>
      <c r="R85" s="28">
        <f>'[1]FY25 Budget Consolidate'!$AJ$209/12</f>
        <v>83.333333333333329</v>
      </c>
      <c r="S85" s="25"/>
      <c r="T85" s="25" t="s">
        <v>69</v>
      </c>
      <c r="U85" s="25"/>
      <c r="V85" s="25"/>
    </row>
    <row r="86" spans="2:22" x14ac:dyDescent="0.2">
      <c r="B86" s="27" t="s">
        <v>115</v>
      </c>
      <c r="C86" s="28">
        <f>'[1]FY25 Budget Consolidate'!$AJ$210/12</f>
        <v>483.33333333333331</v>
      </c>
      <c r="D86" s="28">
        <f>'[1]FY25 Budget Consolidate'!$AJ$210/12</f>
        <v>483.33333333333331</v>
      </c>
      <c r="E86" s="28">
        <f>'[1]FY25 Budget Consolidate'!$AJ$210/12</f>
        <v>483.33333333333331</v>
      </c>
      <c r="F86" s="28">
        <f>'[1]FY25 Budget Consolidate'!$AJ$210/12</f>
        <v>483.33333333333331</v>
      </c>
      <c r="G86" s="28">
        <f>'[1]FY25 Budget Consolidate'!$AJ$210/12</f>
        <v>483.33333333333331</v>
      </c>
      <c r="H86" s="28">
        <f>'[1]FY25 Budget Consolidate'!$AJ$210/12</f>
        <v>483.33333333333331</v>
      </c>
      <c r="I86" s="28">
        <f>'[1]FY25 Budget Consolidate'!$AJ$210/12</f>
        <v>483.33333333333331</v>
      </c>
      <c r="J86" s="28">
        <f>'[1]FY25 Budget Consolidate'!$AJ$210/12</f>
        <v>483.33333333333331</v>
      </c>
      <c r="K86" s="28">
        <f>'[1]FY25 Budget Consolidate'!$AJ$210/12</f>
        <v>483.33333333333331</v>
      </c>
      <c r="L86" s="28">
        <f>'[1]FY25 Budget Consolidate'!$AJ$210/12</f>
        <v>483.33333333333331</v>
      </c>
      <c r="M86" s="28">
        <f>'[1]FY25 Budget Consolidate'!$AJ$210/12</f>
        <v>483.33333333333331</v>
      </c>
      <c r="N86" s="28">
        <f>'[1]FY25 Budget Consolidate'!$AJ$210/12</f>
        <v>483.33333333333331</v>
      </c>
      <c r="O86" s="28">
        <f>'[1]FY25 Budget Consolidate'!$AJ$210/12</f>
        <v>483.33333333333331</v>
      </c>
      <c r="P86" s="28">
        <f>'[1]FY25 Budget Consolidate'!$AJ$210/12</f>
        <v>483.33333333333331</v>
      </c>
      <c r="Q86" s="28">
        <f>'[1]FY25 Budget Consolidate'!$AJ$210/12</f>
        <v>483.33333333333331</v>
      </c>
      <c r="R86" s="28">
        <f>'[1]FY25 Budget Consolidate'!$AJ$210/12</f>
        <v>483.33333333333331</v>
      </c>
      <c r="S86" s="25"/>
      <c r="T86" s="25" t="s">
        <v>69</v>
      </c>
      <c r="U86" s="25"/>
      <c r="V86" s="25"/>
    </row>
    <row r="87" spans="2:22" x14ac:dyDescent="0.2">
      <c r="B87" s="27" t="s">
        <v>116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5"/>
      <c r="T87" s="25" t="s">
        <v>69</v>
      </c>
      <c r="U87" s="25"/>
      <c r="V87" s="25"/>
    </row>
    <row r="88" spans="2:22" x14ac:dyDescent="0.2">
      <c r="B88" s="27" t="s">
        <v>117</v>
      </c>
      <c r="C88" s="28"/>
      <c r="D88" s="28"/>
      <c r="E88" s="28">
        <f>'[1]FY25 Budget Consolidate'!$AJ$213/4</f>
        <v>1950</v>
      </c>
      <c r="F88" s="28"/>
      <c r="G88" s="28"/>
      <c r="H88" s="28">
        <f>'[1]FY25 Budget Consolidate'!$AJ$213/4</f>
        <v>1950</v>
      </c>
      <c r="I88" s="28"/>
      <c r="J88" s="28"/>
      <c r="K88" s="28">
        <f>'[1]FY25 Budget Consolidate'!$AJ$213/4</f>
        <v>1950</v>
      </c>
      <c r="L88" s="28"/>
      <c r="M88" s="28"/>
      <c r="N88" s="28">
        <f>'[1]FY25 Budget Consolidate'!$AJ$213/4</f>
        <v>1950</v>
      </c>
      <c r="O88" s="28"/>
      <c r="P88" s="28"/>
      <c r="Q88" s="28">
        <f>'[1]FY25 Budget Consolidate'!$AJ$213/4</f>
        <v>1950</v>
      </c>
      <c r="R88" s="28"/>
      <c r="S88" s="25"/>
      <c r="T88" s="25" t="s">
        <v>69</v>
      </c>
      <c r="U88" s="25"/>
      <c r="V88" s="25"/>
    </row>
    <row r="89" spans="2:22" x14ac:dyDescent="0.2">
      <c r="B89" s="27" t="s">
        <v>118</v>
      </c>
      <c r="C89" s="28"/>
      <c r="D89" s="28"/>
      <c r="E89" s="28"/>
      <c r="F89" s="28"/>
      <c r="G89" s="28">
        <v>14500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5"/>
      <c r="T89" s="25" t="s">
        <v>119</v>
      </c>
      <c r="U89" s="25"/>
      <c r="V89" s="25"/>
    </row>
    <row r="90" spans="2:22" x14ac:dyDescent="0.2">
      <c r="B90" s="27" t="s">
        <v>120</v>
      </c>
      <c r="C90" s="29">
        <f>SUM(C80:C89)</f>
        <v>10601.176960733254</v>
      </c>
      <c r="D90" s="29">
        <f t="shared" ref="D90:R90" si="14">SUM(D80:D89)</f>
        <v>10597.427351317572</v>
      </c>
      <c r="E90" s="29">
        <f t="shared" si="14"/>
        <v>3834.2724716175398</v>
      </c>
      <c r="F90" s="29">
        <f t="shared" si="14"/>
        <v>900</v>
      </c>
      <c r="G90" s="29">
        <f t="shared" si="14"/>
        <v>15400</v>
      </c>
      <c r="H90" s="29">
        <f t="shared" si="14"/>
        <v>2850</v>
      </c>
      <c r="I90" s="29">
        <f t="shared" si="14"/>
        <v>900</v>
      </c>
      <c r="J90" s="29">
        <f t="shared" si="14"/>
        <v>5548.5782730965529</v>
      </c>
      <c r="K90" s="29">
        <f t="shared" si="14"/>
        <v>2850</v>
      </c>
      <c r="L90" s="29">
        <f t="shared" si="14"/>
        <v>900</v>
      </c>
      <c r="M90" s="29">
        <f t="shared" si="14"/>
        <v>900</v>
      </c>
      <c r="N90" s="29">
        <f t="shared" si="14"/>
        <v>4818.5449432350797</v>
      </c>
      <c r="O90" s="29">
        <f t="shared" si="14"/>
        <v>10601.176960733254</v>
      </c>
      <c r="P90" s="29">
        <f t="shared" si="14"/>
        <v>10597.427351317572</v>
      </c>
      <c r="Q90" s="29">
        <f t="shared" si="14"/>
        <v>3834.2724716175398</v>
      </c>
      <c r="R90" s="29">
        <f t="shared" si="14"/>
        <v>900</v>
      </c>
      <c r="S90" s="29">
        <f>SUM(C90:N90)</f>
        <v>60100</v>
      </c>
      <c r="T90" s="25"/>
      <c r="U90" s="25"/>
      <c r="V90" s="25"/>
    </row>
    <row r="91" spans="2:22" x14ac:dyDescent="0.2">
      <c r="B91" s="10" t="s">
        <v>42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2:22" x14ac:dyDescent="0.2">
      <c r="B92" s="27" t="s">
        <v>121</v>
      </c>
      <c r="C92" s="28">
        <f>'[1]FY25 Budget Consolidate'!$AF$220*'[1]Last fiscal year P&amp;L by month'!C120</f>
        <v>0</v>
      </c>
      <c r="D92" s="28">
        <f>'[1]FY25 Budget Consolidate'!$AJ$220*'[1]Last fiscal year P&amp;L by month'!D120</f>
        <v>0</v>
      </c>
      <c r="E92" s="28">
        <f>'[1]FY25 Budget Consolidate'!$AJ$220*'[1]Last fiscal year P&amp;L by month'!E120</f>
        <v>0</v>
      </c>
      <c r="F92" s="28">
        <f>'[1]FY25 Budget Consolidate'!$AJ$220*'[1]Last fiscal year P&amp;L by month'!F120</f>
        <v>0</v>
      </c>
      <c r="G92" s="28">
        <f>'[1]FY25 Budget Consolidate'!$AJ$220*'[1]Last fiscal year P&amp;L by month'!G120</f>
        <v>2564.2353160499129</v>
      </c>
      <c r="H92" s="28">
        <f>'[1]FY25 Budget Consolidate'!$AJ$220*'[1]Last fiscal year P&amp;L by month'!H120</f>
        <v>0</v>
      </c>
      <c r="I92" s="28">
        <f>'[1]FY25 Budget Consolidate'!$AJ$220*'[1]Last fiscal year P&amp;L by month'!I120</f>
        <v>0</v>
      </c>
      <c r="J92" s="28">
        <f>'[1]FY25 Budget Consolidate'!$AJ$220*'[1]Last fiscal year P&amp;L by month'!J120</f>
        <v>0</v>
      </c>
      <c r="K92" s="28">
        <f>'[1]FY25 Budget Consolidate'!$AJ$220*'[1]Last fiscal year P&amp;L by month'!K120</f>
        <v>1935.7646839500871</v>
      </c>
      <c r="L92" s="28">
        <f>'[1]FY25 Budget Consolidate'!$AJ$220*'[1]Last fiscal year P&amp;L by month'!L120</f>
        <v>0</v>
      </c>
      <c r="M92" s="28">
        <f>'[1]FY25 Budget Consolidate'!$AJ$220*'[1]Last fiscal year P&amp;L by month'!M120</f>
        <v>0</v>
      </c>
      <c r="N92" s="28">
        <f>'[1]FY25 Budget Consolidate'!$AJ$220*'[1]Last fiscal year P&amp;L by month'!N120</f>
        <v>0</v>
      </c>
      <c r="O92" s="28">
        <f>'[1]FY25 Budget Consolidate'!$AJ$220*'[1]Last fiscal year P&amp;L by month'!C120</f>
        <v>0</v>
      </c>
      <c r="P92" s="28">
        <f>'[1]FY25 Budget Consolidate'!$AJ$220*'[1]Last fiscal year P&amp;L by month'!D120</f>
        <v>0</v>
      </c>
      <c r="Q92" s="28">
        <f>'[1]FY25 Budget Consolidate'!$AJ$220*'[1]Last fiscal year P&amp;L by month'!E120</f>
        <v>0</v>
      </c>
      <c r="R92" s="28">
        <f>'[1]FY25 Budget Consolidate'!$AJ$220*'[1]Last fiscal year P&amp;L by month'!F120</f>
        <v>0</v>
      </c>
      <c r="S92" s="25"/>
      <c r="T92" s="25" t="s">
        <v>122</v>
      </c>
      <c r="U92" s="25"/>
      <c r="V92" s="25"/>
    </row>
    <row r="93" spans="2:22" x14ac:dyDescent="0.2">
      <c r="B93" s="27" t="s">
        <v>123</v>
      </c>
      <c r="C93" s="28">
        <f>'[1]FY25 Budget Consolidate'!$AJ$222/12</f>
        <v>333.33333333333331</v>
      </c>
      <c r="D93" s="28">
        <f>'[1]FY25 Budget Consolidate'!$AJ$222/12</f>
        <v>333.33333333333331</v>
      </c>
      <c r="E93" s="28">
        <f>'[1]FY25 Budget Consolidate'!$AJ$222/12</f>
        <v>333.33333333333331</v>
      </c>
      <c r="F93" s="28">
        <f>'[1]FY25 Budget Consolidate'!$AJ$222/12</f>
        <v>333.33333333333331</v>
      </c>
      <c r="G93" s="28">
        <f>'[1]FY25 Budget Consolidate'!$AJ$222/12</f>
        <v>333.33333333333331</v>
      </c>
      <c r="H93" s="28">
        <f>'[1]FY25 Budget Consolidate'!$AJ$222/12</f>
        <v>333.33333333333331</v>
      </c>
      <c r="I93" s="28">
        <f>'[1]FY25 Budget Consolidate'!$AJ$222/12</f>
        <v>333.33333333333331</v>
      </c>
      <c r="J93" s="28">
        <f>'[1]FY25 Budget Consolidate'!$AJ$222/12</f>
        <v>333.33333333333331</v>
      </c>
      <c r="K93" s="28">
        <f>'[1]FY25 Budget Consolidate'!$AJ$222/12</f>
        <v>333.33333333333331</v>
      </c>
      <c r="L93" s="28">
        <f>'[1]FY25 Budget Consolidate'!$AJ$222/12</f>
        <v>333.33333333333331</v>
      </c>
      <c r="M93" s="28">
        <f>'[1]FY25 Budget Consolidate'!$AJ$222/12</f>
        <v>333.33333333333331</v>
      </c>
      <c r="N93" s="28">
        <f>'[1]FY25 Budget Consolidate'!$AJ$222/12</f>
        <v>333.33333333333331</v>
      </c>
      <c r="O93" s="28">
        <f>'[1]FY25 Budget Consolidate'!$AJ$222/12</f>
        <v>333.33333333333331</v>
      </c>
      <c r="P93" s="28">
        <f>'[1]FY25 Budget Consolidate'!$AJ$222/12</f>
        <v>333.33333333333331</v>
      </c>
      <c r="Q93" s="28">
        <f>'[1]FY25 Budget Consolidate'!$AJ$222/12</f>
        <v>333.33333333333331</v>
      </c>
      <c r="R93" s="28">
        <f>'[1]FY25 Budget Consolidate'!$AJ$222/12</f>
        <v>333.33333333333331</v>
      </c>
      <c r="S93" s="25"/>
      <c r="T93" s="25" t="s">
        <v>69</v>
      </c>
      <c r="U93" s="25" t="s">
        <v>124</v>
      </c>
      <c r="V93" s="25"/>
    </row>
    <row r="94" spans="2:22" x14ac:dyDescent="0.2">
      <c r="B94" s="27" t="s">
        <v>125</v>
      </c>
      <c r="C94" s="28">
        <f>'[1]FY25 Budget Consolidate'!$AJ$228*'[1]Last fiscal year P&amp;L by month'!C123</f>
        <v>4622.3314719320279</v>
      </c>
      <c r="D94" s="28">
        <f>'[1]FY25 Budget Consolidate'!$AJ$228*'[1]Last fiscal year P&amp;L by month'!D123</f>
        <v>2736.438043836446</v>
      </c>
      <c r="E94" s="28">
        <f>'[1]FY25 Budget Consolidate'!$AJ$228*'[1]Last fiscal year P&amp;L by month'!E123</f>
        <v>6468.1468814848458</v>
      </c>
      <c r="F94" s="28">
        <f>'[1]FY25 Budget Consolidate'!$AJ$228*'[1]Last fiscal year P&amp;L by month'!F123</f>
        <v>3493.4672829775295</v>
      </c>
      <c r="G94" s="28">
        <f>'[1]FY25 Budget Consolidate'!$AJ$228*'[1]Last fiscal year P&amp;L by month'!G123</f>
        <v>4887.2917056314063</v>
      </c>
      <c r="H94" s="28">
        <f>'[1]FY25 Budget Consolidate'!$AJ$228*'[1]Last fiscal year P&amp;L by month'!H123</f>
        <v>6019.7183851230393</v>
      </c>
      <c r="I94" s="28">
        <f>'[1]FY25 Budget Consolidate'!$AJ$228*'[1]Last fiscal year P&amp;L by month'!I123</f>
        <v>7553.1479057008755</v>
      </c>
      <c r="J94" s="28">
        <f>'[1]FY25 Budget Consolidate'!$AJ$228*'[1]Last fiscal year P&amp;L by month'!J123</f>
        <v>2778.7426189649182</v>
      </c>
      <c r="K94" s="28">
        <f>'[1]FY25 Budget Consolidate'!$AJ$228*'[1]Last fiscal year P&amp;L by month'!K123</f>
        <v>4811.5887817172988</v>
      </c>
      <c r="L94" s="28">
        <f>'[1]FY25 Budget Consolidate'!$AJ$228*'[1]Last fiscal year P&amp;L by month'!L123</f>
        <v>4359.152483501216</v>
      </c>
      <c r="M94" s="28">
        <f>'[1]FY25 Budget Consolidate'!$AJ$228*'[1]Last fiscal year P&amp;L by month'!M123</f>
        <v>1314.7816638612053</v>
      </c>
      <c r="N94" s="28">
        <f>'[1]FY25 Budget Consolidate'!$AJ$228*'[1]Last fiscal year P&amp;L by month'!N123</f>
        <v>955.19277526919075</v>
      </c>
      <c r="O94" s="28">
        <f>'[1]FY25 Budget Consolidate'!$AJ$228*'[1]Last fiscal year P&amp;L by month'!C123</f>
        <v>4622.3314719320279</v>
      </c>
      <c r="P94" s="28">
        <f>'[1]FY25 Budget Consolidate'!$AJ$228*'[1]Last fiscal year P&amp;L by month'!D123</f>
        <v>2736.438043836446</v>
      </c>
      <c r="Q94" s="28">
        <f>'[1]FY25 Budget Consolidate'!$AJ$228*'[1]Last fiscal year P&amp;L by month'!E123</f>
        <v>6468.1468814848458</v>
      </c>
      <c r="R94" s="28">
        <f>'[1]FY25 Budget Consolidate'!$AJ$228*'[1]Last fiscal year P&amp;L by month'!F123</f>
        <v>3493.4672829775295</v>
      </c>
      <c r="S94" s="25"/>
      <c r="T94" s="25" t="s">
        <v>122</v>
      </c>
      <c r="U94" s="25"/>
      <c r="V94" s="25"/>
    </row>
    <row r="95" spans="2:22" x14ac:dyDescent="0.2">
      <c r="B95" s="27" t="s">
        <v>126</v>
      </c>
      <c r="C95" s="28">
        <v>2000</v>
      </c>
      <c r="D95" s="28"/>
      <c r="E95" s="28"/>
      <c r="F95" s="28"/>
      <c r="G95" s="28"/>
      <c r="H95" s="28"/>
      <c r="I95" s="28"/>
      <c r="J95" s="28"/>
      <c r="K95" s="28"/>
      <c r="L95" s="28"/>
      <c r="M95" s="28">
        <v>5000</v>
      </c>
      <c r="N95" s="28"/>
      <c r="O95" s="28">
        <v>2000</v>
      </c>
      <c r="P95" s="28"/>
      <c r="Q95" s="28"/>
      <c r="R95" s="28"/>
      <c r="S95" s="25"/>
      <c r="T95" s="37" t="s">
        <v>127</v>
      </c>
      <c r="U95" s="37" t="s">
        <v>128</v>
      </c>
      <c r="V95" s="25"/>
    </row>
    <row r="96" spans="2:22" x14ac:dyDescent="0.2">
      <c r="B96" s="27" t="s">
        <v>129</v>
      </c>
      <c r="C96" s="29">
        <f>SUM(C91:C95)</f>
        <v>6955.6648052653609</v>
      </c>
      <c r="D96" s="29">
        <f t="shared" ref="D96:R96" si="15">SUM(D91:D95)</f>
        <v>3069.7713771697795</v>
      </c>
      <c r="E96" s="29">
        <f t="shared" si="15"/>
        <v>6801.4802148181789</v>
      </c>
      <c r="F96" s="29">
        <f t="shared" si="15"/>
        <v>3826.800616310863</v>
      </c>
      <c r="G96" s="29">
        <f t="shared" si="15"/>
        <v>7784.8603550146527</v>
      </c>
      <c r="H96" s="29">
        <f t="shared" si="15"/>
        <v>6353.0517184563723</v>
      </c>
      <c r="I96" s="29">
        <f t="shared" si="15"/>
        <v>7886.4812390342086</v>
      </c>
      <c r="J96" s="29">
        <f t="shared" si="15"/>
        <v>3112.0759522982517</v>
      </c>
      <c r="K96" s="29">
        <f t="shared" si="15"/>
        <v>7080.6867990007195</v>
      </c>
      <c r="L96" s="29">
        <f t="shared" si="15"/>
        <v>4692.485816834549</v>
      </c>
      <c r="M96" s="29">
        <f t="shared" si="15"/>
        <v>6648.1149971945388</v>
      </c>
      <c r="N96" s="29">
        <f t="shared" si="15"/>
        <v>1288.5261086025241</v>
      </c>
      <c r="O96" s="29">
        <f t="shared" si="15"/>
        <v>6955.6648052653609</v>
      </c>
      <c r="P96" s="29">
        <f t="shared" si="15"/>
        <v>3069.7713771697795</v>
      </c>
      <c r="Q96" s="29">
        <f t="shared" si="15"/>
        <v>6801.4802148181789</v>
      </c>
      <c r="R96" s="29">
        <f t="shared" si="15"/>
        <v>3826.800616310863</v>
      </c>
      <c r="S96" s="29">
        <f>SUM(C96:N96)</f>
        <v>65500.000000000015</v>
      </c>
      <c r="T96" s="25"/>
      <c r="U96" s="25"/>
      <c r="V96" s="25"/>
    </row>
    <row r="97" spans="1:22" x14ac:dyDescent="0.2">
      <c r="B97" s="10" t="s">
        <v>130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x14ac:dyDescent="0.2">
      <c r="B98" s="27" t="s">
        <v>131</v>
      </c>
      <c r="C98" s="28">
        <f>'[1]FY25 Budget Consolidate'!$AJ$235/12</f>
        <v>316.66666666666669</v>
      </c>
      <c r="D98" s="28">
        <f>'[1]FY25 Budget Consolidate'!$AJ$235/12</f>
        <v>316.66666666666669</v>
      </c>
      <c r="E98" s="28">
        <f>'[1]FY25 Budget Consolidate'!$AJ$235/12</f>
        <v>316.66666666666669</v>
      </c>
      <c r="F98" s="28">
        <f>'[1]FY25 Budget Consolidate'!$AJ$235/12</f>
        <v>316.66666666666669</v>
      </c>
      <c r="G98" s="28">
        <f>'[1]FY25 Budget Consolidate'!$AJ$235/12</f>
        <v>316.66666666666669</v>
      </c>
      <c r="H98" s="28">
        <f>'[1]FY25 Budget Consolidate'!$AJ$235/12</f>
        <v>316.66666666666669</v>
      </c>
      <c r="I98" s="28">
        <f>'[1]FY25 Budget Consolidate'!$AJ$235/12</f>
        <v>316.66666666666669</v>
      </c>
      <c r="J98" s="28">
        <f>'[1]FY25 Budget Consolidate'!$AJ$235/12</f>
        <v>316.66666666666669</v>
      </c>
      <c r="K98" s="28">
        <f>'[1]FY25 Budget Consolidate'!$AJ$235/12</f>
        <v>316.66666666666669</v>
      </c>
      <c r="L98" s="28">
        <f>'[1]FY25 Budget Consolidate'!$AJ$235/12</f>
        <v>316.66666666666669</v>
      </c>
      <c r="M98" s="28">
        <f>'[1]FY25 Budget Consolidate'!$AJ$235/12</f>
        <v>316.66666666666669</v>
      </c>
      <c r="N98" s="28">
        <f>'[1]FY25 Budget Consolidate'!$AJ$235/12</f>
        <v>316.66666666666669</v>
      </c>
      <c r="O98" s="28">
        <f>'[1]FY25 Budget Consolidate'!$AJ$235/12</f>
        <v>316.66666666666669</v>
      </c>
      <c r="P98" s="28">
        <f>'[1]FY25 Budget Consolidate'!$AJ$235/12</f>
        <v>316.66666666666669</v>
      </c>
      <c r="Q98" s="28">
        <f>'[1]FY25 Budget Consolidate'!$AJ$235/12</f>
        <v>316.66666666666669</v>
      </c>
      <c r="R98" s="28">
        <f>'[1]FY25 Budget Consolidate'!$AJ$235/12</f>
        <v>316.66666666666669</v>
      </c>
      <c r="S98" s="25"/>
      <c r="T98" s="25" t="s">
        <v>69</v>
      </c>
      <c r="U98" s="25"/>
      <c r="V98" s="25"/>
    </row>
    <row r="99" spans="1:22" x14ac:dyDescent="0.2">
      <c r="B99" s="27" t="s">
        <v>132</v>
      </c>
      <c r="C99" s="28"/>
      <c r="D99" s="28"/>
      <c r="E99" s="28"/>
      <c r="F99" s="28"/>
      <c r="G99" s="28">
        <f>'[1]FY25 Budget Consolidate'!$AJ$237/2</f>
        <v>51500</v>
      </c>
      <c r="H99" s="28">
        <f>'[1]FY25 Budget Consolidate'!$AJ$237/2</f>
        <v>51500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5"/>
      <c r="T99" s="25" t="s">
        <v>133</v>
      </c>
      <c r="U99" s="25" t="s">
        <v>134</v>
      </c>
      <c r="V99" s="25"/>
    </row>
    <row r="100" spans="1:22" x14ac:dyDescent="0.2">
      <c r="B100" s="27" t="s">
        <v>135</v>
      </c>
      <c r="C100" s="28">
        <f>'[1]FY25 Budget Consolidate'!$AJ$239/12</f>
        <v>83.333333333333329</v>
      </c>
      <c r="D100" s="28">
        <f>'[1]FY25 Budget Consolidate'!$AJ$239/12</f>
        <v>83.333333333333329</v>
      </c>
      <c r="E100" s="28">
        <f>'[1]FY25 Budget Consolidate'!$AJ$239/12</f>
        <v>83.333333333333329</v>
      </c>
      <c r="F100" s="28">
        <f>'[1]FY25 Budget Consolidate'!$AJ$239/12</f>
        <v>83.333333333333329</v>
      </c>
      <c r="G100" s="28">
        <f>'[1]FY25 Budget Consolidate'!$AJ$239/12</f>
        <v>83.333333333333329</v>
      </c>
      <c r="H100" s="28">
        <f>'[1]FY25 Budget Consolidate'!$AJ$239/12</f>
        <v>83.333333333333329</v>
      </c>
      <c r="I100" s="28">
        <f>'[1]FY25 Budget Consolidate'!$AJ$239/12</f>
        <v>83.333333333333329</v>
      </c>
      <c r="J100" s="28">
        <f>'[1]FY25 Budget Consolidate'!$AJ$239/12</f>
        <v>83.333333333333329</v>
      </c>
      <c r="K100" s="28">
        <f>'[1]FY25 Budget Consolidate'!$AJ$239/12</f>
        <v>83.333333333333329</v>
      </c>
      <c r="L100" s="28">
        <f>'[1]FY25 Budget Consolidate'!$AJ$239/12</f>
        <v>83.333333333333329</v>
      </c>
      <c r="M100" s="28">
        <f>'[1]FY25 Budget Consolidate'!$AJ$239/12</f>
        <v>83.333333333333329</v>
      </c>
      <c r="N100" s="28">
        <f>'[1]FY25 Budget Consolidate'!$AJ$239/12</f>
        <v>83.333333333333329</v>
      </c>
      <c r="O100" s="28">
        <f>'[1]FY25 Budget Consolidate'!$AJ$239/12</f>
        <v>83.333333333333329</v>
      </c>
      <c r="P100" s="28">
        <f>'[1]FY25 Budget Consolidate'!$AJ$239/12</f>
        <v>83.333333333333329</v>
      </c>
      <c r="Q100" s="28">
        <f>'[1]FY25 Budget Consolidate'!$AJ$239/12</f>
        <v>83.333333333333329</v>
      </c>
      <c r="R100" s="28">
        <f>'[1]FY25 Budget Consolidate'!$AJ$239/12</f>
        <v>83.333333333333329</v>
      </c>
      <c r="S100" s="25"/>
      <c r="T100" s="25" t="s">
        <v>69</v>
      </c>
      <c r="U100" s="25"/>
      <c r="V100" s="25"/>
    </row>
    <row r="101" spans="1:22" x14ac:dyDescent="0.2">
      <c r="B101" s="27" t="s">
        <v>136</v>
      </c>
      <c r="C101" s="29">
        <f>SUM(C97:C100)</f>
        <v>400</v>
      </c>
      <c r="D101" s="29">
        <f t="shared" ref="D101:R101" si="16">SUM(D97:D100)</f>
        <v>400</v>
      </c>
      <c r="E101" s="29">
        <f t="shared" si="16"/>
        <v>400</v>
      </c>
      <c r="F101" s="29">
        <f t="shared" si="16"/>
        <v>400</v>
      </c>
      <c r="G101" s="29">
        <f t="shared" si="16"/>
        <v>51900</v>
      </c>
      <c r="H101" s="29">
        <f t="shared" si="16"/>
        <v>51900</v>
      </c>
      <c r="I101" s="29">
        <f t="shared" si="16"/>
        <v>400</v>
      </c>
      <c r="J101" s="29">
        <f t="shared" si="16"/>
        <v>400</v>
      </c>
      <c r="K101" s="29">
        <f t="shared" si="16"/>
        <v>400</v>
      </c>
      <c r="L101" s="29">
        <f t="shared" si="16"/>
        <v>400</v>
      </c>
      <c r="M101" s="29">
        <f t="shared" si="16"/>
        <v>400</v>
      </c>
      <c r="N101" s="29">
        <f t="shared" si="16"/>
        <v>400</v>
      </c>
      <c r="O101" s="29">
        <f t="shared" si="16"/>
        <v>400</v>
      </c>
      <c r="P101" s="29">
        <f t="shared" si="16"/>
        <v>400</v>
      </c>
      <c r="Q101" s="29">
        <f t="shared" si="16"/>
        <v>400</v>
      </c>
      <c r="R101" s="29">
        <f t="shared" si="16"/>
        <v>400</v>
      </c>
      <c r="S101" s="29">
        <f>SUM(C101:N101)</f>
        <v>107800</v>
      </c>
      <c r="T101" s="25"/>
      <c r="U101" s="25"/>
      <c r="V101" s="25"/>
    </row>
    <row r="102" spans="1:22" x14ac:dyDescent="0.2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x14ac:dyDescent="0.2">
      <c r="A103" s="34" t="s">
        <v>137</v>
      </c>
      <c r="B103" s="34"/>
      <c r="C103" s="35">
        <f>C47+C51+C57+C63+C68+C72+C79+C90+C96+C101</f>
        <v>82145.648420844416</v>
      </c>
      <c r="D103" s="35">
        <f t="shared" ref="D103:R103" si="17">D47+D51+D57+D63+D68+D72+D79+D90+D96+D101</f>
        <v>74686.288503507632</v>
      </c>
      <c r="E103" s="35">
        <f t="shared" si="17"/>
        <v>71776.948131611774</v>
      </c>
      <c r="F103" s="35">
        <f t="shared" si="17"/>
        <v>68387.928512511746</v>
      </c>
      <c r="G103" s="35">
        <f t="shared" si="17"/>
        <v>155962.35184978915</v>
      </c>
      <c r="H103" s="35">
        <f t="shared" si="17"/>
        <v>134076.25251246098</v>
      </c>
      <c r="I103" s="35">
        <f t="shared" si="17"/>
        <v>143331.52566299014</v>
      </c>
      <c r="J103" s="35">
        <f t="shared" si="17"/>
        <v>87212.016103452552</v>
      </c>
      <c r="K103" s="35">
        <f t="shared" si="17"/>
        <v>70774.555328918068</v>
      </c>
      <c r="L103" s="35">
        <f t="shared" si="17"/>
        <v>51302.782688041203</v>
      </c>
      <c r="M103" s="35">
        <f t="shared" si="17"/>
        <v>115475.49056907366</v>
      </c>
      <c r="N103" s="35">
        <f t="shared" si="17"/>
        <v>83031.495895160828</v>
      </c>
      <c r="O103" s="35">
        <f t="shared" si="17"/>
        <v>87483.530357158204</v>
      </c>
      <c r="P103" s="35">
        <f t="shared" si="17"/>
        <v>80285.877184361438</v>
      </c>
      <c r="Q103" s="35">
        <f t="shared" si="17"/>
        <v>77376.536812465565</v>
      </c>
      <c r="R103" s="35">
        <f t="shared" si="17"/>
        <v>73987.517193365537</v>
      </c>
      <c r="S103" s="35">
        <f>SUM(S47:S101)</f>
        <v>1138163.2841783622</v>
      </c>
      <c r="T103" s="25"/>
      <c r="U103" s="25"/>
      <c r="V103" s="25"/>
    </row>
    <row r="104" spans="1:22" x14ac:dyDescent="0.2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x14ac:dyDescent="0.2">
      <c r="B105" s="38" t="s">
        <v>138</v>
      </c>
      <c r="C105" s="39">
        <f>C41-C103</f>
        <v>-56461.766065590258</v>
      </c>
      <c r="D105" s="39">
        <f t="shared" ref="D105:R105" si="18">D41-D103</f>
        <v>69671.771962982995</v>
      </c>
      <c r="E105" s="39">
        <f t="shared" si="18"/>
        <v>-54336.577231629257</v>
      </c>
      <c r="F105" s="39">
        <f t="shared" si="18"/>
        <v>-56940.11299266787</v>
      </c>
      <c r="G105" s="39">
        <f t="shared" si="18"/>
        <v>-100998.99152892487</v>
      </c>
      <c r="H105" s="39">
        <f t="shared" si="18"/>
        <v>21969.109027165658</v>
      </c>
      <c r="I105" s="39">
        <f t="shared" si="18"/>
        <v>105309.95117960186</v>
      </c>
      <c r="J105" s="39">
        <f t="shared" si="18"/>
        <v>-67040.402367131348</v>
      </c>
      <c r="K105" s="39">
        <f t="shared" si="18"/>
        <v>-42049.273015379062</v>
      </c>
      <c r="L105" s="39">
        <f t="shared" si="18"/>
        <v>-36883.545330697059</v>
      </c>
      <c r="M105" s="39">
        <f t="shared" si="18"/>
        <v>-50185.162254254836</v>
      </c>
      <c r="N105" s="39">
        <f t="shared" si="18"/>
        <v>316326.67693816184</v>
      </c>
      <c r="O105" s="39">
        <f t="shared" si="18"/>
        <v>-61799.648001904046</v>
      </c>
      <c r="P105" s="39">
        <f t="shared" si="18"/>
        <v>63322.18328212919</v>
      </c>
      <c r="Q105" s="39">
        <f t="shared" si="18"/>
        <v>-59936.165912483048</v>
      </c>
      <c r="R105" s="39">
        <f t="shared" si="18"/>
        <v>-62539.70167352166</v>
      </c>
      <c r="S105" s="39"/>
      <c r="T105" s="25"/>
      <c r="U105" s="25"/>
      <c r="V105" s="25"/>
    </row>
    <row r="106" spans="1:22" x14ac:dyDescent="0.2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x14ac:dyDescent="0.2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x14ac:dyDescent="0.2">
      <c r="B108" s="10" t="s">
        <v>139</v>
      </c>
      <c r="C108" s="25">
        <f>F6</f>
        <v>709995.62</v>
      </c>
      <c r="D108" s="25">
        <f t="shared" ref="D108:M108" si="19">C111</f>
        <v>652287.8539344098</v>
      </c>
      <c r="E108" s="25">
        <f t="shared" si="19"/>
        <v>721127.62589739275</v>
      </c>
      <c r="F108" s="25">
        <f t="shared" si="19"/>
        <v>666195.04866576346</v>
      </c>
      <c r="G108" s="25">
        <f t="shared" si="19"/>
        <v>607714.93567309564</v>
      </c>
      <c r="H108" s="25">
        <f t="shared" si="19"/>
        <v>499956.94414417073</v>
      </c>
      <c r="I108" s="25">
        <f t="shared" si="19"/>
        <v>515348.05317133642</v>
      </c>
      <c r="J108" s="25">
        <f t="shared" si="19"/>
        <v>607077.45435093821</v>
      </c>
      <c r="K108" s="25">
        <f t="shared" si="19"/>
        <v>538430.05198380689</v>
      </c>
      <c r="L108" s="25">
        <f t="shared" si="19"/>
        <v>490318.7789684278</v>
      </c>
      <c r="M108" s="25">
        <f t="shared" si="19"/>
        <v>450988.23363773071</v>
      </c>
      <c r="N108" s="25">
        <f>M111</f>
        <v>387993.56138347584</v>
      </c>
      <c r="O108" s="25">
        <f t="shared" ref="O108:R108" si="20">N111</f>
        <v>696494.90832163778</v>
      </c>
      <c r="P108" s="25">
        <f t="shared" si="20"/>
        <v>633449.26031973376</v>
      </c>
      <c r="Q108" s="25">
        <f t="shared" si="20"/>
        <v>695939.44360186299</v>
      </c>
      <c r="R108" s="25">
        <f t="shared" si="20"/>
        <v>635407.27768937999</v>
      </c>
      <c r="S108" s="25">
        <f>SUM(C108:N108)</f>
        <v>6847434.1618105471</v>
      </c>
      <c r="T108" s="25"/>
      <c r="U108" s="25"/>
      <c r="V108" s="25"/>
    </row>
    <row r="109" spans="1:22" x14ac:dyDescent="0.2">
      <c r="B109" s="10" t="s">
        <v>138</v>
      </c>
      <c r="C109" s="25">
        <f>C105</f>
        <v>-56461.766065590258</v>
      </c>
      <c r="D109" s="25">
        <f t="shared" ref="D109:R109" si="21">D105</f>
        <v>69671.771962982995</v>
      </c>
      <c r="E109" s="25">
        <f t="shared" si="21"/>
        <v>-54336.577231629257</v>
      </c>
      <c r="F109" s="25">
        <f t="shared" si="21"/>
        <v>-56940.11299266787</v>
      </c>
      <c r="G109" s="25">
        <f t="shared" si="21"/>
        <v>-100998.99152892487</v>
      </c>
      <c r="H109" s="25">
        <f t="shared" si="21"/>
        <v>21969.109027165658</v>
      </c>
      <c r="I109" s="25">
        <f t="shared" si="21"/>
        <v>105309.95117960186</v>
      </c>
      <c r="J109" s="25">
        <f t="shared" si="21"/>
        <v>-67040.402367131348</v>
      </c>
      <c r="K109" s="25">
        <f t="shared" si="21"/>
        <v>-42049.273015379062</v>
      </c>
      <c r="L109" s="25">
        <f t="shared" si="21"/>
        <v>-36883.545330697059</v>
      </c>
      <c r="M109" s="25">
        <f t="shared" si="21"/>
        <v>-50185.162254254836</v>
      </c>
      <c r="N109" s="25">
        <f t="shared" si="21"/>
        <v>316326.67693816184</v>
      </c>
      <c r="O109" s="25">
        <f t="shared" si="21"/>
        <v>-61799.648001904046</v>
      </c>
      <c r="P109" s="25">
        <f t="shared" si="21"/>
        <v>63322.18328212919</v>
      </c>
      <c r="Q109" s="25">
        <f t="shared" si="21"/>
        <v>-59936.165912483048</v>
      </c>
      <c r="R109" s="25">
        <f t="shared" si="21"/>
        <v>-62539.70167352166</v>
      </c>
      <c r="S109" s="25">
        <f>SUM(C109:N109)</f>
        <v>48381.678321637795</v>
      </c>
      <c r="T109" s="25"/>
      <c r="U109" s="25"/>
      <c r="V109" s="25"/>
    </row>
    <row r="110" spans="1:22" x14ac:dyDescent="0.2">
      <c r="B110" s="40" t="s">
        <v>140</v>
      </c>
      <c r="C110" s="25">
        <f>-'[1]Morgan Stanley Checks'!H14</f>
        <v>-1246</v>
      </c>
      <c r="D110" s="25">
        <f>-'[1]Morgan Stanley Checks'!H13</f>
        <v>-832</v>
      </c>
      <c r="E110" s="25">
        <f>-'[1]Morgan Stanley Checks'!H12</f>
        <v>-596</v>
      </c>
      <c r="F110" s="25">
        <f>-'[1]Morgan Stanley Checks'!H11</f>
        <v>-1540</v>
      </c>
      <c r="G110" s="25">
        <f>-'[1]Morgan Stanley Checks'!H10</f>
        <v>-6759</v>
      </c>
      <c r="H110" s="25">
        <f>-'[1]Morgan Stanley Checks'!H9</f>
        <v>-6578</v>
      </c>
      <c r="I110" s="25">
        <f>-'[1]Morgan Stanley Checks'!H8</f>
        <v>-13580.55</v>
      </c>
      <c r="J110" s="25">
        <f>-'[1]Morgan Stanley Checks'!H7</f>
        <v>-1607</v>
      </c>
      <c r="K110" s="25">
        <f>-'[1]Morgan Stanley Checks'!H6</f>
        <v>-6062</v>
      </c>
      <c r="L110" s="25">
        <f>-'[1]Morgan Stanley Checks'!H5</f>
        <v>-2447</v>
      </c>
      <c r="M110" s="25">
        <f>-'[1]Morgan Stanley Checks'!H4</f>
        <v>-12809.51</v>
      </c>
      <c r="N110" s="25">
        <f>-'[1]Morgan Stanley Checks'!H3</f>
        <v>-7825.33</v>
      </c>
      <c r="O110" s="25">
        <f>-'[1]Morgan Stanley Checks'!H14</f>
        <v>-1246</v>
      </c>
      <c r="P110" s="25">
        <f>-'[1]Morgan Stanley Checks'!H13</f>
        <v>-832</v>
      </c>
      <c r="Q110" s="25">
        <f>-'[1]Morgan Stanley Checks'!H12</f>
        <v>-596</v>
      </c>
      <c r="R110" s="25">
        <f>-'[1]Morgan Stanley Checks'!H11</f>
        <v>-1540</v>
      </c>
      <c r="S110" s="25"/>
      <c r="U110" s="25" t="s">
        <v>141</v>
      </c>
      <c r="V110" s="25"/>
    </row>
    <row r="111" spans="1:22" x14ac:dyDescent="0.2">
      <c r="B111" s="41" t="s">
        <v>142</v>
      </c>
      <c r="C111" s="42">
        <f>C108+C109+C110</f>
        <v>652287.8539344098</v>
      </c>
      <c r="D111" s="42">
        <f t="shared" ref="D111:R111" si="22">D108+D109+D110</f>
        <v>721127.62589739275</v>
      </c>
      <c r="E111" s="42">
        <f t="shared" si="22"/>
        <v>666195.04866576346</v>
      </c>
      <c r="F111" s="42">
        <f t="shared" si="22"/>
        <v>607714.93567309564</v>
      </c>
      <c r="G111" s="42">
        <f t="shared" si="22"/>
        <v>499956.94414417073</v>
      </c>
      <c r="H111" s="42">
        <f t="shared" si="22"/>
        <v>515348.05317133642</v>
      </c>
      <c r="I111" s="42">
        <f t="shared" si="22"/>
        <v>607077.45435093821</v>
      </c>
      <c r="J111" s="42">
        <f t="shared" si="22"/>
        <v>538430.05198380689</v>
      </c>
      <c r="K111" s="42">
        <f t="shared" si="22"/>
        <v>490318.7789684278</v>
      </c>
      <c r="L111" s="42">
        <f t="shared" si="22"/>
        <v>450988.23363773071</v>
      </c>
      <c r="M111" s="42">
        <f t="shared" si="22"/>
        <v>387993.56138347584</v>
      </c>
      <c r="N111" s="42">
        <f t="shared" si="22"/>
        <v>696494.90832163778</v>
      </c>
      <c r="O111" s="42">
        <f t="shared" si="22"/>
        <v>633449.26031973376</v>
      </c>
      <c r="P111" s="42">
        <f t="shared" si="22"/>
        <v>695939.44360186299</v>
      </c>
      <c r="Q111" s="42">
        <f t="shared" si="22"/>
        <v>635407.27768937999</v>
      </c>
      <c r="R111" s="42">
        <f t="shared" si="22"/>
        <v>571327.57601585833</v>
      </c>
      <c r="S111" s="43">
        <f>SUM(C111:N111)</f>
        <v>6833933.4501321856</v>
      </c>
      <c r="T111" s="25"/>
      <c r="U111" s="25"/>
      <c r="V111" s="25"/>
    </row>
    <row r="112" spans="1:22" x14ac:dyDescent="0.2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2:22" x14ac:dyDescent="0.2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2:22" x14ac:dyDescent="0.2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2:22" x14ac:dyDescent="0.2"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2:22" x14ac:dyDescent="0.2"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2:22" x14ac:dyDescent="0.2"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2:22" x14ac:dyDescent="0.2">
      <c r="B118" s="44" t="s">
        <v>143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2:22" x14ac:dyDescent="0.2">
      <c r="B119" s="4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2:22" x14ac:dyDescent="0.2">
      <c r="B120" s="4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2:22" x14ac:dyDescent="0.2">
      <c r="B121" s="46" t="s">
        <v>144</v>
      </c>
      <c r="C121" s="47">
        <v>45693</v>
      </c>
      <c r="D121" s="47">
        <v>45724</v>
      </c>
      <c r="E121" s="47">
        <v>45755</v>
      </c>
      <c r="F121" s="47">
        <v>45786</v>
      </c>
      <c r="G121" s="47">
        <v>45817</v>
      </c>
      <c r="H121" s="47">
        <v>45839</v>
      </c>
      <c r="I121" s="47">
        <v>45870</v>
      </c>
      <c r="J121" s="47">
        <v>45901</v>
      </c>
      <c r="K121" s="47">
        <v>45931</v>
      </c>
      <c r="L121" s="47">
        <v>45962</v>
      </c>
      <c r="M121" s="47">
        <v>45992</v>
      </c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2:22" x14ac:dyDescent="0.2">
      <c r="B122" s="48" t="s">
        <v>139</v>
      </c>
      <c r="C122" s="49">
        <v>647865.48480872507</v>
      </c>
      <c r="D122" s="49">
        <v>576809.82504998345</v>
      </c>
      <c r="E122" s="49">
        <v>626519.94898256031</v>
      </c>
      <c r="F122" s="49">
        <v>578934.99525584979</v>
      </c>
      <c r="G122" s="49">
        <v>516140.78945144959</v>
      </c>
      <c r="H122" s="49">
        <v>390358.10672934493</v>
      </c>
      <c r="I122" s="49">
        <v>433351.31708335597</v>
      </c>
      <c r="J122" s="49">
        <v>531910.21889872663</v>
      </c>
      <c r="K122" s="49">
        <v>437801.79987425072</v>
      </c>
      <c r="L122" s="49">
        <v>425839.19883279636</v>
      </c>
      <c r="M122" s="49">
        <v>360539.12747860007</v>
      </c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2:22" x14ac:dyDescent="0.2">
      <c r="B123" s="48" t="s">
        <v>138</v>
      </c>
      <c r="C123" s="49">
        <v>-63389.496425408237</v>
      </c>
      <c r="D123" s="49">
        <v>50956.123932576797</v>
      </c>
      <c r="E123" s="49">
        <v>-46752.953726710541</v>
      </c>
      <c r="F123" s="49">
        <v>-62198.20580440019</v>
      </c>
      <c r="G123" s="49">
        <v>-124242.68272210468</v>
      </c>
      <c r="H123" s="49">
        <v>48752.210354011011</v>
      </c>
      <c r="I123" s="49">
        <v>100638.90181537066</v>
      </c>
      <c r="J123" s="49">
        <v>-88521.459024475887</v>
      </c>
      <c r="K123" s="49">
        <v>-9642.2010414543474</v>
      </c>
      <c r="L123" s="49">
        <v>-55415.531354196311</v>
      </c>
      <c r="M123" s="49">
        <v>-61200.282537170358</v>
      </c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2:22" x14ac:dyDescent="0.2">
      <c r="B124" s="50" t="s">
        <v>140</v>
      </c>
      <c r="C124" s="49">
        <v>-7666.1633333333339</v>
      </c>
      <c r="D124" s="49">
        <v>-1246</v>
      </c>
      <c r="E124" s="49">
        <v>-832</v>
      </c>
      <c r="F124" s="49">
        <v>-596</v>
      </c>
      <c r="G124" s="49">
        <v>-1540</v>
      </c>
      <c r="H124" s="49">
        <v>-5759</v>
      </c>
      <c r="I124" s="49">
        <v>-2080</v>
      </c>
      <c r="J124" s="49">
        <v>-5586.9599999999991</v>
      </c>
      <c r="K124" s="49">
        <v>-2320.4</v>
      </c>
      <c r="L124" s="49">
        <v>-9884.5400000000009</v>
      </c>
      <c r="M124" s="49">
        <v>-7666.1633333333339</v>
      </c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2:22" x14ac:dyDescent="0.2">
      <c r="B125" s="51" t="s">
        <v>142</v>
      </c>
      <c r="C125" s="52">
        <v>576809.82504998345</v>
      </c>
      <c r="D125" s="52">
        <v>626519.94898256031</v>
      </c>
      <c r="E125" s="52">
        <v>578934.99525584979</v>
      </c>
      <c r="F125" s="52">
        <v>516140.78945144959</v>
      </c>
      <c r="G125" s="52">
        <v>390358.10672934493</v>
      </c>
      <c r="H125" s="52">
        <v>433351.31708335597</v>
      </c>
      <c r="I125" s="52">
        <v>531910.21889872663</v>
      </c>
      <c r="J125" s="52">
        <v>437801.79987425072</v>
      </c>
      <c r="K125" s="52">
        <v>425839.19883279636</v>
      </c>
      <c r="L125" s="52">
        <v>360539.12747860007</v>
      </c>
      <c r="M125" s="52">
        <v>291672.68160809641</v>
      </c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2:22" x14ac:dyDescent="0.2">
      <c r="B126" s="4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2:22" x14ac:dyDescent="0.2">
      <c r="B127" s="46" t="s">
        <v>145</v>
      </c>
      <c r="C127" s="47">
        <v>45693</v>
      </c>
      <c r="D127" s="47">
        <v>45724</v>
      </c>
      <c r="E127" s="47">
        <v>45755</v>
      </c>
      <c r="F127" s="47">
        <v>45786</v>
      </c>
      <c r="G127" s="47">
        <v>45817</v>
      </c>
      <c r="H127" s="47">
        <v>45839</v>
      </c>
      <c r="I127" s="25"/>
      <c r="J127" s="25"/>
      <c r="K127" s="25"/>
      <c r="L127" s="25"/>
      <c r="M127" s="25"/>
      <c r="N127" s="25"/>
      <c r="O127" s="25"/>
      <c r="P127" s="25"/>
    </row>
    <row r="128" spans="2:22" x14ac:dyDescent="0.2">
      <c r="B128" s="48" t="s">
        <v>139</v>
      </c>
      <c r="C128" s="49">
        <v>612331.3639499147</v>
      </c>
      <c r="D128" s="49">
        <v>565584.58892441413</v>
      </c>
      <c r="E128" s="49">
        <v>624078.13490780094</v>
      </c>
      <c r="F128" s="49">
        <v>531792.75857606519</v>
      </c>
      <c r="G128" s="49">
        <v>462162.77679349174</v>
      </c>
      <c r="H128" s="49">
        <v>350296.72980170028</v>
      </c>
      <c r="I128" s="25"/>
      <c r="J128" s="25"/>
      <c r="K128" s="25"/>
      <c r="L128" s="25"/>
      <c r="M128" s="25"/>
      <c r="N128" s="25"/>
      <c r="O128" s="25"/>
      <c r="P128" s="25"/>
    </row>
    <row r="129" spans="2:22" x14ac:dyDescent="0.2">
      <c r="B129" s="48" t="s">
        <v>138</v>
      </c>
      <c r="C129" s="49">
        <v>-45500.775025500567</v>
      </c>
      <c r="D129" s="49">
        <v>59325.545983386779</v>
      </c>
      <c r="E129" s="49">
        <v>-87737.281331735809</v>
      </c>
      <c r="F129" s="49">
        <v>-65081.886782573463</v>
      </c>
      <c r="G129" s="49">
        <v>-109264.85699179143</v>
      </c>
      <c r="H129" s="49">
        <v>21181.796951662356</v>
      </c>
      <c r="I129" s="25"/>
      <c r="J129" s="25"/>
      <c r="K129" s="25"/>
      <c r="L129" s="25"/>
      <c r="M129" s="25"/>
      <c r="N129" s="25"/>
      <c r="O129" s="25"/>
      <c r="P129" s="25"/>
    </row>
    <row r="130" spans="2:22" x14ac:dyDescent="0.2">
      <c r="B130" s="50" t="s">
        <v>140</v>
      </c>
      <c r="C130" s="49">
        <v>-1246</v>
      </c>
      <c r="D130" s="49">
        <v>-832</v>
      </c>
      <c r="E130" s="49">
        <v>-4548.0950000000003</v>
      </c>
      <c r="F130" s="49">
        <v>-4548.0950000000003</v>
      </c>
      <c r="G130" s="49">
        <v>-2601.19</v>
      </c>
      <c r="H130" s="49">
        <v>-2080</v>
      </c>
      <c r="I130" s="25"/>
      <c r="J130" s="25"/>
      <c r="K130" s="25"/>
      <c r="L130" s="25"/>
      <c r="M130" s="25"/>
      <c r="N130" s="25"/>
      <c r="O130" s="25"/>
      <c r="P130" s="25"/>
    </row>
    <row r="131" spans="2:22" x14ac:dyDescent="0.2">
      <c r="B131" s="51" t="s">
        <v>142</v>
      </c>
      <c r="C131" s="52">
        <v>565584.58892441413</v>
      </c>
      <c r="D131" s="52">
        <v>624078.13490780094</v>
      </c>
      <c r="E131" s="52">
        <v>531792.75857606519</v>
      </c>
      <c r="F131" s="52">
        <v>462162.77679349174</v>
      </c>
      <c r="G131" s="52">
        <v>350296.72980170028</v>
      </c>
      <c r="H131" s="52">
        <v>369398.52675336262</v>
      </c>
      <c r="I131" s="25"/>
      <c r="J131" s="25"/>
      <c r="K131" s="25"/>
      <c r="L131" s="25"/>
      <c r="M131" s="25"/>
      <c r="N131" s="25"/>
      <c r="O131" s="25"/>
      <c r="P131" s="25"/>
    </row>
    <row r="132" spans="2:22" x14ac:dyDescent="0.2">
      <c r="B132" s="53"/>
      <c r="C132" s="54"/>
      <c r="D132" s="54"/>
      <c r="E132" s="54"/>
      <c r="F132" s="54"/>
      <c r="G132" s="54"/>
      <c r="H132" s="54"/>
      <c r="I132" s="25"/>
      <c r="J132" s="25"/>
      <c r="K132" s="25"/>
      <c r="L132" s="25"/>
      <c r="M132" s="25"/>
      <c r="N132" s="25"/>
      <c r="O132" s="25"/>
      <c r="P132" s="25"/>
    </row>
    <row r="133" spans="2:22" x14ac:dyDescent="0.2">
      <c r="B133" s="46" t="s">
        <v>146</v>
      </c>
      <c r="C133" s="47">
        <v>45693</v>
      </c>
      <c r="D133" s="47">
        <v>45724</v>
      </c>
      <c r="E133" s="47">
        <v>45755</v>
      </c>
      <c r="F133" s="47">
        <v>45786</v>
      </c>
      <c r="G133" s="47">
        <v>45817</v>
      </c>
      <c r="H133" s="25"/>
      <c r="I133" s="25"/>
      <c r="J133" s="25"/>
      <c r="K133" s="25"/>
      <c r="L133" s="25"/>
      <c r="M133" s="25"/>
      <c r="N133" s="25"/>
      <c r="O133" s="25"/>
    </row>
    <row r="134" spans="2:22" x14ac:dyDescent="0.2">
      <c r="B134" s="48" t="s">
        <v>139</v>
      </c>
      <c r="C134" s="49">
        <v>433912.74374317855</v>
      </c>
      <c r="D134" s="49">
        <v>372212.69854029355</v>
      </c>
      <c r="E134" s="49">
        <v>430284.76876259019</v>
      </c>
      <c r="F134" s="49">
        <v>350184.75169205386</v>
      </c>
      <c r="G134" s="49">
        <v>282958.32858196564</v>
      </c>
      <c r="H134" s="25"/>
      <c r="I134" s="25"/>
      <c r="J134" s="25"/>
      <c r="K134" s="25"/>
      <c r="L134" s="25"/>
      <c r="M134" s="25"/>
      <c r="N134" s="25"/>
      <c r="O134" s="25"/>
    </row>
    <row r="135" spans="2:22" x14ac:dyDescent="0.2">
      <c r="B135" s="48" t="s">
        <v>138</v>
      </c>
      <c r="C135" s="49">
        <v>-60365.925202884981</v>
      </c>
      <c r="D135" s="49">
        <v>59496.070222296621</v>
      </c>
      <c r="E135" s="49">
        <v>-75551.922070536326</v>
      </c>
      <c r="F135" s="49">
        <v>-62678.328110088267</v>
      </c>
      <c r="G135" s="49">
        <v>-110981.34654474052</v>
      </c>
      <c r="H135" s="25"/>
      <c r="I135" s="25"/>
      <c r="J135" s="25"/>
      <c r="K135" s="25"/>
      <c r="L135" s="25"/>
      <c r="M135" s="25"/>
      <c r="N135" s="25"/>
      <c r="O135" s="25"/>
    </row>
    <row r="136" spans="2:22" x14ac:dyDescent="0.2">
      <c r="B136" s="50" t="s">
        <v>140</v>
      </c>
      <c r="C136" s="49">
        <v>-1334.12</v>
      </c>
      <c r="D136" s="49">
        <v>-1424</v>
      </c>
      <c r="E136" s="49">
        <v>-4548.0950000000003</v>
      </c>
      <c r="F136" s="49">
        <v>-4548.0950000000003</v>
      </c>
      <c r="G136" s="49">
        <v>-2601.19</v>
      </c>
      <c r="H136" s="25"/>
      <c r="I136" s="25"/>
      <c r="J136" s="25"/>
      <c r="K136" s="25"/>
      <c r="L136" s="25"/>
      <c r="M136" s="25"/>
      <c r="N136" s="25"/>
      <c r="O136" s="25"/>
    </row>
    <row r="137" spans="2:22" x14ac:dyDescent="0.2">
      <c r="B137" s="51" t="s">
        <v>142</v>
      </c>
      <c r="C137" s="52">
        <v>372212.69854029355</v>
      </c>
      <c r="D137" s="52">
        <v>430284.76876259019</v>
      </c>
      <c r="E137" s="52">
        <v>350184.75169205386</v>
      </c>
      <c r="F137" s="52">
        <v>282958.32858196564</v>
      </c>
      <c r="G137" s="52">
        <v>169375.79203722512</v>
      </c>
      <c r="H137" s="25"/>
      <c r="I137" s="25"/>
      <c r="J137" s="25"/>
      <c r="K137" s="25"/>
      <c r="L137" s="25"/>
      <c r="M137" s="25"/>
      <c r="N137" s="25"/>
      <c r="O137" s="25"/>
    </row>
    <row r="138" spans="2:22" x14ac:dyDescent="0.2">
      <c r="B138" s="5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2:22" x14ac:dyDescent="0.2">
      <c r="N139" s="25"/>
      <c r="O139" s="25"/>
      <c r="P139" s="25"/>
      <c r="Q139" s="25"/>
      <c r="R139" s="25"/>
      <c r="S139" s="25"/>
      <c r="T139" s="25"/>
      <c r="U139" s="25"/>
    </row>
    <row r="140" spans="2:22" x14ac:dyDescent="0.2">
      <c r="O140" s="25"/>
      <c r="P140" s="25"/>
      <c r="Q140" s="25"/>
      <c r="R140" s="25"/>
      <c r="S140" s="25"/>
      <c r="T140" s="25"/>
      <c r="U140" s="25"/>
      <c r="V140" s="25"/>
    </row>
  </sheetData>
  <mergeCells count="9">
    <mergeCell ref="T10:T11"/>
    <mergeCell ref="U10:U11"/>
    <mergeCell ref="A13:B13"/>
    <mergeCell ref="F2:G2"/>
    <mergeCell ref="F3:G3"/>
    <mergeCell ref="F4:G4"/>
    <mergeCell ref="F5:G5"/>
    <mergeCell ref="F6:G6"/>
    <mergeCell ref="S10:S11"/>
  </mergeCells>
  <conditionalFormatting sqref="C131:H131 C137:G137">
    <cfRule type="cellIs" dxfId="2" priority="2" operator="lessThan">
      <formula>400000</formula>
    </cfRule>
  </conditionalFormatting>
  <conditionalFormatting sqref="C125:M125">
    <cfRule type="cellIs" dxfId="1" priority="1" operator="lessThan">
      <formula>400000</formula>
    </cfRule>
  </conditionalFormatting>
  <conditionalFormatting sqref="C111:R111">
    <cfRule type="cellIs" dxfId="0" priority="3" operator="lessThan">
      <formula>400000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Heather Cacanindin</cp:lastModifiedBy>
  <dcterms:created xsi:type="dcterms:W3CDTF">2025-03-26T13:42:42Z</dcterms:created>
  <dcterms:modified xsi:type="dcterms:W3CDTF">2025-03-26T13:44:53Z</dcterms:modified>
</cp:coreProperties>
</file>